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pivotTables/pivotTable1.xml" ContentType="application/vnd.openxmlformats-officedocument.spreadsheetml.pivotTab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tudk.sharepoint.com/sites/MasterThesisatSustainabilityDivision/Shared Documents/Codes/Electrolysis Infrastructure/"/>
    </mc:Choice>
  </mc:AlternateContent>
  <xr:revisionPtr revIDLastSave="660" documentId="11_663DA30E2C68D2BB8BE7FDA5F059E3FCCE7737A0" xr6:coauthVersionLast="47" xr6:coauthVersionMax="47" xr10:uidLastSave="{62E7D9F5-3E41-44FF-8EC7-1C21A5622465}"/>
  <bookViews>
    <workbookView xWindow="-98" yWindow="-98" windowWidth="20715" windowHeight="13276" tabRatio="757" activeTab="5" xr2:uid="{00000000-000D-0000-FFFF-FFFF00000000}"/>
  </bookViews>
  <sheets>
    <sheet name="Economic" sheetId="6" r:id="rId1"/>
    <sheet name="Technology Data" sheetId="3" r:id="rId2"/>
    <sheet name="H2 Grid Data" sheetId="8" r:id="rId3"/>
    <sheet name="Annualised Costs" sheetId="7" r:id="rId4"/>
    <sheet name="Demands" sheetId="2" r:id="rId5"/>
    <sheet name="Biomass Costs" sheetId="9" r:id="rId6"/>
    <sheet name="Biomass Potentials" sheetId="11" r:id="rId7"/>
    <sheet name="Transport" sheetId="10" r:id="rId8"/>
    <sheet name="Distribution of Fuels" sheetId="12" r:id="rId9"/>
    <sheet name="Regulation Ability" sheetId="13" r:id="rId10"/>
    <sheet name="LCA" sheetId="14" r:id="rId11"/>
    <sheet name="Fossil Fuels" sheetId="15" r:id="rId12"/>
  </sheets>
  <externalReferences>
    <externalReference r:id="rId13"/>
  </externalReferences>
  <definedNames>
    <definedName name="_xlnm._FilterDatabase" localSheetId="5" hidden="1">'Biomass Costs'!$A$63:$G$173</definedName>
    <definedName name="_xlnm._FilterDatabase" localSheetId="6" hidden="1">'Biomass Potentials'!#REF!</definedName>
    <definedName name="_xlnm._FilterDatabase" localSheetId="4" hidden="1">Demands!$R$213:$X$313</definedName>
    <definedName name="_xlchart.v1.0" hidden="1">'Biomass Costs'!$AS$80:$CL$80</definedName>
    <definedName name="_xlchart.v1.1" hidden="1">'Biomass Costs'!$AS$81:$CL$81</definedName>
    <definedName name="_xlchart.v1.2" hidden="1">'Biomass Costs'!$B$14:$BB$14</definedName>
  </definedNames>
  <calcPr calcId="191029"/>
  <pivotCaches>
    <pivotCache cacheId="0" r:id="rId14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K199" i="9" l="1"/>
  <c r="K200" i="9"/>
  <c r="K198" i="9"/>
  <c r="H199" i="9"/>
  <c r="H200" i="9"/>
  <c r="H198" i="9"/>
  <c r="D197" i="9"/>
  <c r="E197" i="9"/>
  <c r="C197" i="9"/>
  <c r="D196" i="9"/>
  <c r="E196" i="9"/>
  <c r="C196" i="9"/>
  <c r="I195" i="9"/>
  <c r="J195" i="9"/>
  <c r="K195" i="9"/>
  <c r="Q288" i="10"/>
  <c r="Q289" i="10"/>
  <c r="Q290" i="10"/>
  <c r="Q291" i="10"/>
  <c r="Q292" i="10"/>
  <c r="Q293" i="10"/>
  <c r="Q294" i="10"/>
  <c r="Q295" i="10"/>
  <c r="Q296" i="10"/>
  <c r="Q297" i="10"/>
  <c r="Q298" i="10"/>
  <c r="Q299" i="10"/>
  <c r="Q300" i="10"/>
  <c r="Q301" i="10"/>
  <c r="Q302" i="10"/>
  <c r="Q303" i="10"/>
  <c r="Q304" i="10"/>
  <c r="Q305" i="10"/>
  <c r="Q306" i="10"/>
  <c r="Q307" i="10"/>
  <c r="Q308" i="10"/>
  <c r="Q309" i="10"/>
  <c r="Q310" i="10"/>
  <c r="Q311" i="10"/>
  <c r="Q312" i="10"/>
  <c r="Q313" i="10"/>
  <c r="Q314" i="10"/>
  <c r="Q315" i="10"/>
  <c r="Q316" i="10"/>
  <c r="Q317" i="10"/>
  <c r="Q318" i="10"/>
  <c r="Q319" i="10"/>
  <c r="Q320" i="10"/>
  <c r="Q321" i="10"/>
  <c r="Q322" i="10"/>
  <c r="Q323" i="10"/>
  <c r="Q324" i="10"/>
  <c r="Q325" i="10"/>
  <c r="Q326" i="10"/>
  <c r="Q327" i="10"/>
  <c r="Q328" i="10"/>
  <c r="Q329" i="10"/>
  <c r="Q330" i="10"/>
  <c r="Q331" i="10"/>
  <c r="Q332" i="10"/>
  <c r="Q333" i="10"/>
  <c r="Q334" i="10"/>
  <c r="Q287" i="10"/>
  <c r="P288" i="10"/>
  <c r="P289" i="10"/>
  <c r="P290" i="10"/>
  <c r="P291" i="10"/>
  <c r="P292" i="10"/>
  <c r="P293" i="10"/>
  <c r="P294" i="10"/>
  <c r="P295" i="10"/>
  <c r="P296" i="10"/>
  <c r="P297" i="10"/>
  <c r="P298" i="10"/>
  <c r="P299" i="10"/>
  <c r="P300" i="10"/>
  <c r="P301" i="10"/>
  <c r="P302" i="10"/>
  <c r="P303" i="10"/>
  <c r="P304" i="10"/>
  <c r="P305" i="10"/>
  <c r="P306" i="10"/>
  <c r="P307" i="10"/>
  <c r="P308" i="10"/>
  <c r="P309" i="10"/>
  <c r="P310" i="10"/>
  <c r="P311" i="10"/>
  <c r="P312" i="10"/>
  <c r="P313" i="10"/>
  <c r="P314" i="10"/>
  <c r="P315" i="10"/>
  <c r="P316" i="10"/>
  <c r="P317" i="10"/>
  <c r="P318" i="10"/>
  <c r="P319" i="10"/>
  <c r="P320" i="10"/>
  <c r="P321" i="10"/>
  <c r="P322" i="10"/>
  <c r="P323" i="10"/>
  <c r="P324" i="10"/>
  <c r="P325" i="10"/>
  <c r="P326" i="10"/>
  <c r="P327" i="10"/>
  <c r="P328" i="10"/>
  <c r="P329" i="10"/>
  <c r="P330" i="10"/>
  <c r="P331" i="10"/>
  <c r="P332" i="10"/>
  <c r="P333" i="10"/>
  <c r="P334" i="10"/>
  <c r="P287" i="10"/>
  <c r="M19" i="10"/>
  <c r="M18" i="10"/>
  <c r="G30" i="10"/>
  <c r="D291" i="10"/>
  <c r="D292" i="10"/>
  <c r="D293" i="10"/>
  <c r="D294" i="10"/>
  <c r="D295" i="10"/>
  <c r="D296" i="10"/>
  <c r="D297" i="10"/>
  <c r="D298" i="10"/>
  <c r="D299" i="10"/>
  <c r="D300" i="10"/>
  <c r="D301" i="10"/>
  <c r="D302" i="10"/>
  <c r="D303" i="10"/>
  <c r="D304" i="10"/>
  <c r="D305" i="10"/>
  <c r="D306" i="10"/>
  <c r="D307" i="10"/>
  <c r="D308" i="10"/>
  <c r="D309" i="10"/>
  <c r="D290" i="10"/>
  <c r="D7" i="7"/>
  <c r="C291" i="10"/>
  <c r="C292" i="10"/>
  <c r="C293" i="10"/>
  <c r="C294" i="10"/>
  <c r="C295" i="10"/>
  <c r="C296" i="10"/>
  <c r="C297" i="10"/>
  <c r="C298" i="10"/>
  <c r="C299" i="10"/>
  <c r="C300" i="10"/>
  <c r="C301" i="10"/>
  <c r="C302" i="10"/>
  <c r="C303" i="10"/>
  <c r="C304" i="10"/>
  <c r="C305" i="10"/>
  <c r="C306" i="10"/>
  <c r="C307" i="10"/>
  <c r="C308" i="10"/>
  <c r="C309" i="10"/>
  <c r="C290" i="10"/>
  <c r="C289" i="10"/>
  <c r="G283" i="10"/>
  <c r="C282" i="10" s="1"/>
  <c r="K281" i="10" s="1"/>
  <c r="K282" i="10" s="1"/>
  <c r="C285" i="10"/>
  <c r="C284" i="10"/>
  <c r="C281" i="10"/>
  <c r="C273" i="10"/>
  <c r="B264" i="10"/>
  <c r="C280" i="10" s="1"/>
  <c r="V225" i="2"/>
  <c r="V226" i="2"/>
  <c r="V229" i="2"/>
  <c r="V230" i="2"/>
  <c r="V233" i="2"/>
  <c r="V234" i="2"/>
  <c r="V237" i="2"/>
  <c r="V238" i="2"/>
  <c r="V241" i="2"/>
  <c r="V242" i="2"/>
  <c r="V245" i="2"/>
  <c r="V246" i="2"/>
  <c r="V249" i="2"/>
  <c r="V250" i="2"/>
  <c r="V253" i="2"/>
  <c r="V254" i="2"/>
  <c r="V257" i="2"/>
  <c r="V258" i="2"/>
  <c r="V259" i="2"/>
  <c r="V263" i="2"/>
  <c r="V264" i="2"/>
  <c r="V268" i="2"/>
  <c r="V269" i="2"/>
  <c r="V270" i="2"/>
  <c r="V274" i="2"/>
  <c r="V275" i="2"/>
  <c r="V279" i="2"/>
  <c r="V280" i="2"/>
  <c r="V284" i="2"/>
  <c r="V285" i="2"/>
  <c r="V289" i="2"/>
  <c r="V290" i="2"/>
  <c r="V294" i="2"/>
  <c r="V295" i="2"/>
  <c r="V299" i="2"/>
  <c r="V300" i="2"/>
  <c r="V304" i="2"/>
  <c r="V305" i="2"/>
  <c r="V309" i="2"/>
  <c r="V310" i="2"/>
  <c r="C210" i="2"/>
  <c r="C211" i="2"/>
  <c r="C212" i="2"/>
  <c r="C213" i="2"/>
  <c r="C214" i="2"/>
  <c r="C215" i="2"/>
  <c r="C216" i="2"/>
  <c r="C217" i="2"/>
  <c r="C218" i="2"/>
  <c r="C219" i="2"/>
  <c r="C220" i="2"/>
  <c r="C221" i="2"/>
  <c r="C222" i="2"/>
  <c r="C223" i="2"/>
  <c r="C224" i="2"/>
  <c r="C225" i="2"/>
  <c r="C226" i="2"/>
  <c r="C227" i="2"/>
  <c r="C228" i="2"/>
  <c r="C229" i="2"/>
  <c r="C230" i="2"/>
  <c r="C231" i="2"/>
  <c r="C232" i="2"/>
  <c r="C233" i="2"/>
  <c r="C234" i="2"/>
  <c r="C235" i="2"/>
  <c r="C236" i="2"/>
  <c r="C237" i="2"/>
  <c r="C238" i="2"/>
  <c r="C239" i="2"/>
  <c r="C240" i="2"/>
  <c r="C241" i="2"/>
  <c r="C242" i="2"/>
  <c r="C243" i="2"/>
  <c r="C244" i="2"/>
  <c r="C245" i="2"/>
  <c r="C246" i="2"/>
  <c r="C247" i="2"/>
  <c r="C248" i="2"/>
  <c r="C249" i="2"/>
  <c r="C250" i="2"/>
  <c r="C251" i="2"/>
  <c r="C252" i="2"/>
  <c r="C253" i="2"/>
  <c r="C254" i="2"/>
  <c r="C255" i="2"/>
  <c r="C256" i="2"/>
  <c r="C257" i="2"/>
  <c r="C258" i="2"/>
  <c r="C259" i="2"/>
  <c r="C260" i="2"/>
  <c r="C261" i="2"/>
  <c r="C262" i="2"/>
  <c r="C263" i="2"/>
  <c r="C264" i="2"/>
  <c r="C265" i="2"/>
  <c r="C266" i="2"/>
  <c r="C267" i="2"/>
  <c r="C268" i="2"/>
  <c r="C269" i="2"/>
  <c r="C270" i="2"/>
  <c r="C271" i="2"/>
  <c r="C272" i="2"/>
  <c r="C273" i="2"/>
  <c r="C274" i="2"/>
  <c r="C275" i="2"/>
  <c r="C276" i="2"/>
  <c r="C277" i="2"/>
  <c r="C278" i="2"/>
  <c r="C279" i="2"/>
  <c r="C280" i="2"/>
  <c r="C281" i="2"/>
  <c r="C282" i="2"/>
  <c r="C283" i="2"/>
  <c r="C284" i="2"/>
  <c r="C285" i="2"/>
  <c r="C286" i="2"/>
  <c r="C287" i="2"/>
  <c r="C288" i="2"/>
  <c r="C289" i="2"/>
  <c r="C290" i="2"/>
  <c r="C291" i="2"/>
  <c r="C292" i="2"/>
  <c r="C293" i="2"/>
  <c r="C294" i="2"/>
  <c r="C295" i="2"/>
  <c r="C296" i="2"/>
  <c r="C297" i="2"/>
  <c r="C298" i="2"/>
  <c r="C299" i="2"/>
  <c r="C300" i="2"/>
  <c r="C301" i="2"/>
  <c r="C302" i="2"/>
  <c r="C303" i="2"/>
  <c r="C304" i="2"/>
  <c r="C305" i="2"/>
  <c r="C306" i="2"/>
  <c r="C307" i="2"/>
  <c r="C209" i="2"/>
  <c r="U215" i="2"/>
  <c r="U218" i="2"/>
  <c r="U219" i="2"/>
  <c r="U223" i="2"/>
  <c r="U224" i="2"/>
  <c r="U227" i="2"/>
  <c r="U228" i="2"/>
  <c r="U231" i="2"/>
  <c r="U232" i="2"/>
  <c r="U235" i="2"/>
  <c r="U236" i="2"/>
  <c r="U239" i="2"/>
  <c r="U240" i="2"/>
  <c r="U243" i="2"/>
  <c r="U244" i="2"/>
  <c r="U247" i="2"/>
  <c r="U248" i="2"/>
  <c r="U251" i="2"/>
  <c r="U252" i="2"/>
  <c r="U255" i="2"/>
  <c r="U256" i="2"/>
  <c r="U260" i="2"/>
  <c r="U261" i="2"/>
  <c r="U262" i="2"/>
  <c r="U265" i="2"/>
  <c r="U266" i="2"/>
  <c r="U267" i="2"/>
  <c r="U271" i="2"/>
  <c r="U272" i="2"/>
  <c r="U273" i="2"/>
  <c r="U276" i="2"/>
  <c r="U277" i="2"/>
  <c r="U278" i="2"/>
  <c r="U281" i="2"/>
  <c r="U282" i="2"/>
  <c r="U283" i="2"/>
  <c r="U286" i="2"/>
  <c r="U287" i="2"/>
  <c r="U288" i="2"/>
  <c r="U291" i="2"/>
  <c r="U292" i="2"/>
  <c r="U293" i="2"/>
  <c r="U296" i="2"/>
  <c r="U297" i="2"/>
  <c r="U298" i="2"/>
  <c r="U301" i="2"/>
  <c r="U302" i="2"/>
  <c r="U303" i="2"/>
  <c r="U306" i="2"/>
  <c r="U307" i="2"/>
  <c r="U308" i="2"/>
  <c r="U311" i="2"/>
  <c r="U312" i="2"/>
  <c r="U313" i="2"/>
  <c r="U214" i="2"/>
  <c r="R220" i="2"/>
  <c r="S216" i="2"/>
  <c r="S217" i="2"/>
  <c r="R215" i="2"/>
  <c r="S215" i="2" s="1"/>
  <c r="R218" i="2"/>
  <c r="S218" i="2" s="1"/>
  <c r="R219" i="2"/>
  <c r="S219" i="2" s="1"/>
  <c r="R221" i="2"/>
  <c r="R222" i="2"/>
  <c r="R223" i="2"/>
  <c r="S223" i="2" s="1"/>
  <c r="R224" i="2"/>
  <c r="S224" i="2" s="1"/>
  <c r="R225" i="2"/>
  <c r="R226" i="2"/>
  <c r="R227" i="2"/>
  <c r="S227" i="2" s="1"/>
  <c r="R228" i="2"/>
  <c r="S228" i="2" s="1"/>
  <c r="R229" i="2"/>
  <c r="R230" i="2"/>
  <c r="R231" i="2"/>
  <c r="S231" i="2" s="1"/>
  <c r="R232" i="2"/>
  <c r="S232" i="2" s="1"/>
  <c r="R233" i="2"/>
  <c r="R234" i="2"/>
  <c r="R235" i="2"/>
  <c r="S235" i="2" s="1"/>
  <c r="R236" i="2"/>
  <c r="S236" i="2" s="1"/>
  <c r="R237" i="2"/>
  <c r="R238" i="2"/>
  <c r="R239" i="2"/>
  <c r="S239" i="2" s="1"/>
  <c r="R240" i="2"/>
  <c r="S240" i="2" s="1"/>
  <c r="R241" i="2"/>
  <c r="R242" i="2"/>
  <c r="R243" i="2"/>
  <c r="S243" i="2" s="1"/>
  <c r="R244" i="2"/>
  <c r="S244" i="2" s="1"/>
  <c r="R245" i="2"/>
  <c r="R246" i="2"/>
  <c r="R247" i="2"/>
  <c r="S247" i="2" s="1"/>
  <c r="R248" i="2"/>
  <c r="S248" i="2" s="1"/>
  <c r="R249" i="2"/>
  <c r="R250" i="2"/>
  <c r="R251" i="2"/>
  <c r="S251" i="2" s="1"/>
  <c r="R252" i="2"/>
  <c r="S252" i="2" s="1"/>
  <c r="R253" i="2"/>
  <c r="R254" i="2"/>
  <c r="R255" i="2"/>
  <c r="S255" i="2" s="1"/>
  <c r="R256" i="2"/>
  <c r="S256" i="2" s="1"/>
  <c r="R257" i="2"/>
  <c r="R258" i="2"/>
  <c r="R259" i="2"/>
  <c r="R260" i="2"/>
  <c r="S260" i="2" s="1"/>
  <c r="R261" i="2"/>
  <c r="S261" i="2" s="1"/>
  <c r="R262" i="2"/>
  <c r="S262" i="2" s="1"/>
  <c r="R263" i="2"/>
  <c r="R264" i="2"/>
  <c r="R265" i="2"/>
  <c r="S265" i="2" s="1"/>
  <c r="R266" i="2"/>
  <c r="S266" i="2" s="1"/>
  <c r="R267" i="2"/>
  <c r="S267" i="2" s="1"/>
  <c r="R268" i="2"/>
  <c r="R269" i="2"/>
  <c r="R270" i="2"/>
  <c r="R271" i="2"/>
  <c r="S271" i="2" s="1"/>
  <c r="R272" i="2"/>
  <c r="S272" i="2" s="1"/>
  <c r="R273" i="2"/>
  <c r="S273" i="2" s="1"/>
  <c r="R274" i="2"/>
  <c r="R275" i="2"/>
  <c r="R276" i="2"/>
  <c r="S276" i="2" s="1"/>
  <c r="R277" i="2"/>
  <c r="S277" i="2" s="1"/>
  <c r="R278" i="2"/>
  <c r="S278" i="2" s="1"/>
  <c r="R279" i="2"/>
  <c r="R280" i="2"/>
  <c r="R281" i="2"/>
  <c r="S281" i="2" s="1"/>
  <c r="R282" i="2"/>
  <c r="S282" i="2" s="1"/>
  <c r="R283" i="2"/>
  <c r="S283" i="2" s="1"/>
  <c r="R284" i="2"/>
  <c r="R285" i="2"/>
  <c r="R286" i="2"/>
  <c r="S286" i="2" s="1"/>
  <c r="R287" i="2"/>
  <c r="S287" i="2" s="1"/>
  <c r="R288" i="2"/>
  <c r="S288" i="2" s="1"/>
  <c r="R289" i="2"/>
  <c r="R290" i="2"/>
  <c r="R291" i="2"/>
  <c r="S291" i="2" s="1"/>
  <c r="R292" i="2"/>
  <c r="S292" i="2" s="1"/>
  <c r="R293" i="2"/>
  <c r="S293" i="2" s="1"/>
  <c r="R294" i="2"/>
  <c r="R295" i="2"/>
  <c r="R296" i="2"/>
  <c r="S296" i="2" s="1"/>
  <c r="R297" i="2"/>
  <c r="S297" i="2" s="1"/>
  <c r="R298" i="2"/>
  <c r="S298" i="2" s="1"/>
  <c r="R299" i="2"/>
  <c r="R300" i="2"/>
  <c r="R301" i="2"/>
  <c r="S301" i="2" s="1"/>
  <c r="R302" i="2"/>
  <c r="S302" i="2" s="1"/>
  <c r="R303" i="2"/>
  <c r="S303" i="2" s="1"/>
  <c r="R304" i="2"/>
  <c r="R305" i="2"/>
  <c r="R306" i="2"/>
  <c r="S306" i="2" s="1"/>
  <c r="R307" i="2"/>
  <c r="S307" i="2" s="1"/>
  <c r="R308" i="2"/>
  <c r="S308" i="2" s="1"/>
  <c r="R309" i="2"/>
  <c r="S309" i="2" s="1"/>
  <c r="R310" i="2"/>
  <c r="R311" i="2"/>
  <c r="S311" i="2" s="1"/>
  <c r="R312" i="2"/>
  <c r="S312" i="2" s="1"/>
  <c r="R313" i="2"/>
  <c r="S313" i="2" s="1"/>
  <c r="R214" i="2"/>
  <c r="S214" i="2" s="1"/>
  <c r="N229" i="2"/>
  <c r="N230" i="2"/>
  <c r="N231" i="2"/>
  <c r="N232" i="2"/>
  <c r="W232" i="2" s="1"/>
  <c r="N233" i="2"/>
  <c r="N234" i="2"/>
  <c r="N235" i="2"/>
  <c r="N236" i="2"/>
  <c r="W236" i="2" s="1"/>
  <c r="N237" i="2"/>
  <c r="N238" i="2"/>
  <c r="N239" i="2"/>
  <c r="W239" i="2" s="1"/>
  <c r="N240" i="2"/>
  <c r="W240" i="2" s="1"/>
  <c r="N241" i="2"/>
  <c r="N242" i="2"/>
  <c r="N243" i="2"/>
  <c r="W243" i="2" s="1"/>
  <c r="N244" i="2"/>
  <c r="W244" i="2" s="1"/>
  <c r="N245" i="2"/>
  <c r="N246" i="2"/>
  <c r="N247" i="2"/>
  <c r="W247" i="2" s="1"/>
  <c r="N248" i="2"/>
  <c r="W248" i="2" s="1"/>
  <c r="N249" i="2"/>
  <c r="N250" i="2"/>
  <c r="N251" i="2"/>
  <c r="W251" i="2" s="1"/>
  <c r="N252" i="2"/>
  <c r="W252" i="2" s="1"/>
  <c r="N253" i="2"/>
  <c r="N254" i="2"/>
  <c r="N255" i="2"/>
  <c r="W255" i="2" s="1"/>
  <c r="N256" i="2"/>
  <c r="W256" i="2" s="1"/>
  <c r="N257" i="2"/>
  <c r="N258" i="2"/>
  <c r="N259" i="2"/>
  <c r="N260" i="2"/>
  <c r="W260" i="2" s="1"/>
  <c r="N261" i="2"/>
  <c r="W261" i="2" s="1"/>
  <c r="N262" i="2"/>
  <c r="W262" i="2" s="1"/>
  <c r="N263" i="2"/>
  <c r="N264" i="2"/>
  <c r="N265" i="2"/>
  <c r="W265" i="2" s="1"/>
  <c r="N266" i="2"/>
  <c r="W266" i="2" s="1"/>
  <c r="N267" i="2"/>
  <c r="W267" i="2" s="1"/>
  <c r="N268" i="2"/>
  <c r="N269" i="2"/>
  <c r="N270" i="2"/>
  <c r="N271" i="2"/>
  <c r="W271" i="2" s="1"/>
  <c r="N272" i="2"/>
  <c r="W272" i="2" s="1"/>
  <c r="N273" i="2"/>
  <c r="W273" i="2" s="1"/>
  <c r="N274" i="2"/>
  <c r="N275" i="2"/>
  <c r="N276" i="2"/>
  <c r="W276" i="2" s="1"/>
  <c r="N277" i="2"/>
  <c r="W277" i="2" s="1"/>
  <c r="N278" i="2"/>
  <c r="W278" i="2" s="1"/>
  <c r="N279" i="2"/>
  <c r="N280" i="2"/>
  <c r="N281" i="2"/>
  <c r="W281" i="2" s="1"/>
  <c r="N282" i="2"/>
  <c r="W282" i="2" s="1"/>
  <c r="N283" i="2"/>
  <c r="W283" i="2" s="1"/>
  <c r="N284" i="2"/>
  <c r="N285" i="2"/>
  <c r="N286" i="2"/>
  <c r="W286" i="2" s="1"/>
  <c r="N287" i="2"/>
  <c r="W287" i="2" s="1"/>
  <c r="N288" i="2"/>
  <c r="W288" i="2" s="1"/>
  <c r="N289" i="2"/>
  <c r="N290" i="2"/>
  <c r="N291" i="2"/>
  <c r="W291" i="2" s="1"/>
  <c r="N292" i="2"/>
  <c r="W292" i="2" s="1"/>
  <c r="N293" i="2"/>
  <c r="W293" i="2" s="1"/>
  <c r="N294" i="2"/>
  <c r="N295" i="2"/>
  <c r="N296" i="2"/>
  <c r="W296" i="2" s="1"/>
  <c r="N297" i="2"/>
  <c r="W297" i="2" s="1"/>
  <c r="N298" i="2"/>
  <c r="W298" i="2" s="1"/>
  <c r="N299" i="2"/>
  <c r="N300" i="2"/>
  <c r="N301" i="2"/>
  <c r="W301" i="2" s="1"/>
  <c r="N302" i="2"/>
  <c r="W302" i="2" s="1"/>
  <c r="N303" i="2"/>
  <c r="W303" i="2" s="1"/>
  <c r="N304" i="2"/>
  <c r="N305" i="2"/>
  <c r="N306" i="2"/>
  <c r="W306" i="2" s="1"/>
  <c r="N307" i="2"/>
  <c r="W307" i="2" s="1"/>
  <c r="N308" i="2"/>
  <c r="W308" i="2" s="1"/>
  <c r="N309" i="2"/>
  <c r="N310" i="2"/>
  <c r="N311" i="2"/>
  <c r="W311" i="2" s="1"/>
  <c r="N312" i="2"/>
  <c r="W312" i="2" s="1"/>
  <c r="N313" i="2"/>
  <c r="W313" i="2" s="1"/>
  <c r="N215" i="2"/>
  <c r="W215" i="2" s="1"/>
  <c r="N216" i="2"/>
  <c r="N217" i="2"/>
  <c r="N218" i="2"/>
  <c r="W218" i="2" s="1"/>
  <c r="N219" i="2"/>
  <c r="W219" i="2" s="1"/>
  <c r="N220" i="2"/>
  <c r="N221" i="2"/>
  <c r="N222" i="2"/>
  <c r="N223" i="2"/>
  <c r="W223" i="2" s="1"/>
  <c r="N224" i="2"/>
  <c r="W224" i="2" s="1"/>
  <c r="N225" i="2"/>
  <c r="N226" i="2"/>
  <c r="N227" i="2"/>
  <c r="W227" i="2" s="1"/>
  <c r="N228" i="2"/>
  <c r="W228" i="2" s="1"/>
  <c r="N214" i="2"/>
  <c r="W214" i="2" s="1"/>
  <c r="X267" i="2" l="1"/>
  <c r="X214" i="2"/>
  <c r="V214" i="2" s="1"/>
  <c r="X298" i="2"/>
  <c r="V298" i="2" s="1"/>
  <c r="X266" i="2"/>
  <c r="V266" i="2" s="1"/>
  <c r="X306" i="2"/>
  <c r="V306" i="2" s="1"/>
  <c r="X282" i="2"/>
  <c r="V282" i="2" s="1"/>
  <c r="X215" i="2"/>
  <c r="V215" i="2" s="1"/>
  <c r="X296" i="2"/>
  <c r="V296" i="2" s="1"/>
  <c r="X231" i="2"/>
  <c r="V231" i="2" s="1"/>
  <c r="X281" i="2"/>
  <c r="V281" i="2" s="1"/>
  <c r="X247" i="2"/>
  <c r="V247" i="2" s="1"/>
  <c r="X293" i="2"/>
  <c r="V293" i="2" s="1"/>
  <c r="X308" i="2"/>
  <c r="V308" i="2" s="1"/>
  <c r="X292" i="2"/>
  <c r="V292" i="2" s="1"/>
  <c r="X276" i="2"/>
  <c r="V276" i="2" s="1"/>
  <c r="X260" i="2"/>
  <c r="V260" i="2" s="1"/>
  <c r="X252" i="2"/>
  <c r="V252" i="2" s="1"/>
  <c r="X244" i="2"/>
  <c r="V244" i="2" s="1"/>
  <c r="X236" i="2"/>
  <c r="V236" i="2" s="1"/>
  <c r="X228" i="2"/>
  <c r="V228" i="2" s="1"/>
  <c r="X219" i="2"/>
  <c r="V219" i="2" s="1"/>
  <c r="X307" i="2"/>
  <c r="V307" i="2" s="1"/>
  <c r="X291" i="2"/>
  <c r="V291" i="2" s="1"/>
  <c r="X283" i="2"/>
  <c r="V283" i="2" s="1"/>
  <c r="X251" i="2"/>
  <c r="X243" i="2"/>
  <c r="V243" i="2" s="1"/>
  <c r="X235" i="2"/>
  <c r="V235" i="2" s="1"/>
  <c r="X227" i="2"/>
  <c r="V227" i="2" s="1"/>
  <c r="X218" i="2"/>
  <c r="V218" i="2" s="1"/>
  <c r="X313" i="2"/>
  <c r="V313" i="2" s="1"/>
  <c r="X297" i="2"/>
  <c r="V297" i="2" s="1"/>
  <c r="X273" i="2"/>
  <c r="V273" i="2" s="1"/>
  <c r="X265" i="2"/>
  <c r="V265" i="2" s="1"/>
  <c r="X312" i="2"/>
  <c r="V312" i="2" s="1"/>
  <c r="X288" i="2"/>
  <c r="V288" i="2" s="1"/>
  <c r="X272" i="2"/>
  <c r="V272" i="2" s="1"/>
  <c r="X256" i="2"/>
  <c r="V256" i="2" s="1"/>
  <c r="X248" i="2"/>
  <c r="V248" i="2" s="1"/>
  <c r="X240" i="2"/>
  <c r="V240" i="2" s="1"/>
  <c r="X232" i="2"/>
  <c r="V232" i="2" s="1"/>
  <c r="X224" i="2"/>
  <c r="V224" i="2" s="1"/>
  <c r="X311" i="2"/>
  <c r="V311" i="2" s="1"/>
  <c r="X303" i="2"/>
  <c r="V303" i="2" s="1"/>
  <c r="X287" i="2"/>
  <c r="V287" i="2" s="1"/>
  <c r="X271" i="2"/>
  <c r="V271" i="2" s="1"/>
  <c r="X255" i="2"/>
  <c r="V255" i="2" s="1"/>
  <c r="X239" i="2"/>
  <c r="V239" i="2" s="1"/>
  <c r="X223" i="2"/>
  <c r="V223" i="2" s="1"/>
  <c r="V267" i="2"/>
  <c r="X302" i="2"/>
  <c r="V302" i="2" s="1"/>
  <c r="X286" i="2"/>
  <c r="V286" i="2" s="1"/>
  <c r="X278" i="2"/>
  <c r="V278" i="2" s="1"/>
  <c r="X262" i="2"/>
  <c r="V262" i="2" s="1"/>
  <c r="X301" i="2"/>
  <c r="V301" i="2" s="1"/>
  <c r="X277" i="2"/>
  <c r="V277" i="2" s="1"/>
  <c r="X261" i="2"/>
  <c r="V261" i="2" s="1"/>
  <c r="V251" i="2"/>
  <c r="O219" i="8" l="1"/>
  <c r="O220" i="8" s="1"/>
  <c r="Q219" i="8"/>
  <c r="Q220" i="8"/>
  <c r="O205" i="8"/>
  <c r="Q205" i="8"/>
  <c r="L219" i="8"/>
  <c r="L220" i="8" s="1"/>
  <c r="N219" i="8"/>
  <c r="N220" i="8" s="1"/>
  <c r="N206" i="8"/>
  <c r="N207" i="8"/>
  <c r="N208" i="8"/>
  <c r="N209" i="8"/>
  <c r="N210" i="8"/>
  <c r="N211" i="8"/>
  <c r="N212" i="8"/>
  <c r="N213" i="8"/>
  <c r="N214" i="8"/>
  <c r="N215" i="8"/>
  <c r="N216" i="8"/>
  <c r="N217" i="8"/>
  <c r="N218" i="8"/>
  <c r="N205" i="8"/>
  <c r="L206" i="8"/>
  <c r="L207" i="8"/>
  <c r="L208" i="8"/>
  <c r="L209" i="8"/>
  <c r="L210" i="8"/>
  <c r="L211" i="8"/>
  <c r="L212" i="8"/>
  <c r="L213" i="8"/>
  <c r="L214" i="8"/>
  <c r="L215" i="8"/>
  <c r="L216" i="8"/>
  <c r="L217" i="8"/>
  <c r="L218" i="8"/>
  <c r="L205" i="8"/>
  <c r="C205" i="8"/>
  <c r="C206" i="8"/>
  <c r="C207" i="8"/>
  <c r="C208" i="8"/>
  <c r="C209" i="8"/>
  <c r="C210" i="8"/>
  <c r="C211" i="8"/>
  <c r="C212" i="8"/>
  <c r="C213" i="8"/>
  <c r="C214" i="8"/>
  <c r="C215" i="8"/>
  <c r="C216" i="8"/>
  <c r="C217" i="8"/>
  <c r="C218" i="8"/>
  <c r="E205" i="8"/>
  <c r="E206" i="8"/>
  <c r="E207" i="8"/>
  <c r="E208" i="8"/>
  <c r="E209" i="8"/>
  <c r="E210" i="8"/>
  <c r="E211" i="8"/>
  <c r="E212" i="8"/>
  <c r="E213" i="8"/>
  <c r="E214" i="8"/>
  <c r="E215" i="8"/>
  <c r="E216" i="8"/>
  <c r="E217" i="8"/>
  <c r="E218" i="8"/>
  <c r="D218" i="8"/>
  <c r="D217" i="8"/>
  <c r="D216" i="8"/>
  <c r="D215" i="8"/>
  <c r="D214" i="8"/>
  <c r="D213" i="8"/>
  <c r="D212" i="8"/>
  <c r="D211" i="8"/>
  <c r="D210" i="8"/>
  <c r="D209" i="8"/>
  <c r="D208" i="8"/>
  <c r="D207" i="8"/>
  <c r="D206" i="8"/>
  <c r="D205" i="8"/>
  <c r="P219" i="8"/>
  <c r="P220" i="8" s="1"/>
  <c r="P205" i="8"/>
  <c r="M220" i="8"/>
  <c r="M219" i="8"/>
  <c r="M206" i="8"/>
  <c r="M207" i="8"/>
  <c r="M208" i="8"/>
  <c r="M209" i="8"/>
  <c r="M210" i="8"/>
  <c r="M211" i="8"/>
  <c r="M212" i="8"/>
  <c r="M213" i="8"/>
  <c r="M214" i="8"/>
  <c r="M215" i="8"/>
  <c r="M216" i="8"/>
  <c r="M217" i="8"/>
  <c r="M218" i="8"/>
  <c r="M205" i="8"/>
  <c r="Y191" i="8"/>
  <c r="Y194" i="8"/>
  <c r="Y188" i="8"/>
  <c r="Y180" i="8"/>
  <c r="Y175" i="8"/>
  <c r="X176" i="8"/>
  <c r="X177" i="8"/>
  <c r="X178" i="8"/>
  <c r="X179" i="8"/>
  <c r="X181" i="8"/>
  <c r="X182" i="8"/>
  <c r="X183" i="8"/>
  <c r="X184" i="8"/>
  <c r="X185" i="8"/>
  <c r="X186" i="8"/>
  <c r="X187" i="8"/>
  <c r="X188" i="8"/>
  <c r="X189" i="8"/>
  <c r="X190" i="8"/>
  <c r="X191" i="8"/>
  <c r="X192" i="8"/>
  <c r="X193" i="8"/>
  <c r="X194" i="8"/>
  <c r="X195" i="8"/>
  <c r="X196" i="8"/>
  <c r="X197" i="8"/>
  <c r="X198" i="8"/>
  <c r="X174" i="8"/>
  <c r="T180" i="8"/>
  <c r="T175" i="8"/>
  <c r="S198" i="8"/>
  <c r="S197" i="8"/>
  <c r="S196" i="8"/>
  <c r="S195" i="8"/>
  <c r="S194" i="8"/>
  <c r="S193" i="8"/>
  <c r="S192" i="8"/>
  <c r="S191" i="8"/>
  <c r="S190" i="8"/>
  <c r="S189" i="8"/>
  <c r="S188" i="8"/>
  <c r="S187" i="8"/>
  <c r="S186" i="8"/>
  <c r="S185" i="8"/>
  <c r="S184" i="8"/>
  <c r="S183" i="8"/>
  <c r="S182" i="8"/>
  <c r="S181" i="8"/>
  <c r="S180" i="8"/>
  <c r="S179" i="8"/>
  <c r="S178" i="8"/>
  <c r="S177" i="8"/>
  <c r="S176" i="8"/>
  <c r="S175" i="8"/>
  <c r="S174" i="8"/>
  <c r="H195" i="9" l="1"/>
  <c r="F195" i="9"/>
  <c r="G195" i="9"/>
  <c r="E195" i="9"/>
  <c r="C182" i="9" l="1"/>
  <c r="C181" i="9"/>
  <c r="C180" i="9"/>
  <c r="L210" i="3" l="1"/>
  <c r="Q206" i="3" s="1"/>
  <c r="Q207" i="3" s="1"/>
  <c r="K210" i="3"/>
  <c r="P206" i="3" s="1"/>
  <c r="P207" i="3" s="1"/>
  <c r="J210" i="3"/>
  <c r="O206" i="3" s="1"/>
  <c r="O207" i="3" s="1"/>
  <c r="I206" i="8"/>
  <c r="J206" i="8"/>
  <c r="J207" i="8"/>
  <c r="D213" i="3" l="1"/>
  <c r="E213" i="3"/>
  <c r="C213" i="3"/>
  <c r="D206" i="3"/>
  <c r="E206" i="3"/>
  <c r="C206" i="3"/>
  <c r="C205" i="3"/>
  <c r="D205" i="3"/>
  <c r="E205" i="3"/>
  <c r="D192" i="3"/>
  <c r="E193" i="3" l="1"/>
  <c r="D193" i="3"/>
  <c r="D196" i="3" s="1"/>
  <c r="C193" i="3"/>
  <c r="C196" i="3" l="1"/>
  <c r="C195" i="3"/>
  <c r="E195" i="3"/>
  <c r="E196" i="3"/>
  <c r="D195" i="3"/>
  <c r="Y47" i="8"/>
  <c r="Y46" i="8"/>
  <c r="C301" i="11"/>
  <c r="B166" i="3"/>
  <c r="B169" i="3" s="1"/>
  <c r="F216" i="8" l="1"/>
  <c r="F206" i="8"/>
  <c r="I207" i="8" s="1"/>
  <c r="J205" i="10" l="1"/>
  <c r="D47" i="9"/>
  <c r="D46" i="9"/>
  <c r="K26" i="9" l="1"/>
  <c r="C71" i="8" l="1"/>
  <c r="C81" i="8"/>
  <c r="D81" i="8" s="1"/>
  <c r="Y48" i="8"/>
  <c r="I175" i="8"/>
  <c r="I176" i="8"/>
  <c r="I177" i="8"/>
  <c r="I178" i="8"/>
  <c r="I179" i="8"/>
  <c r="I180" i="8"/>
  <c r="I181" i="8"/>
  <c r="I182" i="8"/>
  <c r="I183" i="8"/>
  <c r="I184" i="8"/>
  <c r="I185" i="8"/>
  <c r="I186" i="8"/>
  <c r="I187" i="8"/>
  <c r="I188" i="8"/>
  <c r="I189" i="8"/>
  <c r="I190" i="8"/>
  <c r="I191" i="8"/>
  <c r="I192" i="8"/>
  <c r="I193" i="8"/>
  <c r="I194" i="8"/>
  <c r="I195" i="8"/>
  <c r="I196" i="8"/>
  <c r="I197" i="8"/>
  <c r="I198" i="8"/>
  <c r="I174" i="8"/>
  <c r="L301" i="11"/>
  <c r="D301" i="11"/>
  <c r="J291" i="11"/>
  <c r="K291" i="11"/>
  <c r="L291" i="11"/>
  <c r="M291" i="11"/>
  <c r="J292" i="11"/>
  <c r="K292" i="11"/>
  <c r="L292" i="11"/>
  <c r="M292" i="11"/>
  <c r="J293" i="11"/>
  <c r="K293" i="11"/>
  <c r="L293" i="11"/>
  <c r="M293" i="11"/>
  <c r="I293" i="11"/>
  <c r="I292" i="11"/>
  <c r="I291" i="11"/>
  <c r="H81" i="8" l="1"/>
  <c r="E168" i="2"/>
  <c r="E172" i="2"/>
  <c r="G172" i="2" s="1"/>
  <c r="E103" i="2"/>
  <c r="L324" i="11"/>
  <c r="L323" i="11"/>
  <c r="L322" i="11"/>
  <c r="K324" i="11"/>
  <c r="K323" i="11"/>
  <c r="K322" i="11"/>
  <c r="G323" i="11"/>
  <c r="G322" i="11"/>
  <c r="G324" i="11"/>
  <c r="H324" i="11"/>
  <c r="H323" i="11"/>
  <c r="H322" i="11"/>
  <c r="C324" i="11"/>
  <c r="C323" i="11"/>
  <c r="D322" i="11"/>
  <c r="D324" i="11"/>
  <c r="D323" i="11"/>
  <c r="C322" i="11"/>
  <c r="C99" i="3" l="1"/>
  <c r="C98" i="3"/>
  <c r="D109" i="3"/>
  <c r="D108" i="3"/>
  <c r="G103" i="2"/>
  <c r="K303" i="11" l="1"/>
  <c r="K302" i="11"/>
  <c r="K301" i="11"/>
  <c r="H301" i="11"/>
  <c r="G303" i="11"/>
  <c r="G302" i="11"/>
  <c r="G301" i="11"/>
  <c r="C303" i="11"/>
  <c r="C302" i="11"/>
  <c r="D302" i="11"/>
  <c r="L303" i="11"/>
  <c r="H303" i="11"/>
  <c r="D303" i="11"/>
  <c r="L302" i="11"/>
  <c r="H302" i="11"/>
  <c r="H139" i="8"/>
  <c r="G139" i="8" s="1"/>
  <c r="H140" i="8"/>
  <c r="G140" i="8" s="1"/>
  <c r="H141" i="8"/>
  <c r="G141" i="8" s="1"/>
  <c r="H142" i="8"/>
  <c r="G142" i="8" s="1"/>
  <c r="H143" i="8"/>
  <c r="G143" i="8" s="1"/>
  <c r="H144" i="8"/>
  <c r="G144" i="8" s="1"/>
  <c r="H145" i="8"/>
  <c r="G145" i="8" s="1"/>
  <c r="H146" i="8"/>
  <c r="G146" i="8" s="1"/>
  <c r="H138" i="8"/>
  <c r="G138" i="8" s="1"/>
  <c r="E195" i="2"/>
  <c r="G195" i="2" s="1"/>
  <c r="E196" i="2"/>
  <c r="G196" i="2" s="1"/>
  <c r="E194" i="2"/>
  <c r="G194" i="2" s="1"/>
  <c r="E192" i="2"/>
  <c r="G192" i="2" s="1"/>
  <c r="E193" i="2"/>
  <c r="G193" i="2" s="1"/>
  <c r="E191" i="2"/>
  <c r="G191" i="2" s="1"/>
  <c r="E189" i="2"/>
  <c r="G189" i="2" s="1"/>
  <c r="E190" i="2"/>
  <c r="G190" i="2" s="1"/>
  <c r="E188" i="2"/>
  <c r="G188" i="2" s="1"/>
  <c r="E186" i="2"/>
  <c r="G186" i="2" s="1"/>
  <c r="E187" i="2"/>
  <c r="G187" i="2" s="1"/>
  <c r="E185" i="2"/>
  <c r="G185" i="2" s="1"/>
  <c r="E183" i="2"/>
  <c r="G183" i="2" s="1"/>
  <c r="E184" i="2"/>
  <c r="G184" i="2" s="1"/>
  <c r="E182" i="2"/>
  <c r="G182" i="2" s="1"/>
  <c r="E180" i="2"/>
  <c r="G180" i="2" s="1"/>
  <c r="E181" i="2"/>
  <c r="G181" i="2" s="1"/>
  <c r="E179" i="2"/>
  <c r="G179" i="2" s="1"/>
  <c r="E177" i="2"/>
  <c r="G177" i="2" s="1"/>
  <c r="E178" i="2"/>
  <c r="G178" i="2" s="1"/>
  <c r="E176" i="2"/>
  <c r="G176" i="2" s="1"/>
  <c r="E174" i="2"/>
  <c r="G174" i="2" s="1"/>
  <c r="E175" i="2"/>
  <c r="G175" i="2" s="1"/>
  <c r="E173" i="2"/>
  <c r="G173" i="2" s="1"/>
  <c r="E171" i="2"/>
  <c r="G171" i="2" s="1"/>
  <c r="E170" i="2"/>
  <c r="G170" i="2" s="1"/>
  <c r="G168" i="2"/>
  <c r="E169" i="2"/>
  <c r="G169" i="2" s="1"/>
  <c r="E167" i="2"/>
  <c r="G167" i="2" s="1"/>
  <c r="E165" i="2"/>
  <c r="G165" i="2" s="1"/>
  <c r="E166" i="2"/>
  <c r="G166" i="2" s="1"/>
  <c r="E164" i="2"/>
  <c r="G164" i="2" s="1"/>
  <c r="E162" i="2"/>
  <c r="G162" i="2" s="1"/>
  <c r="E163" i="2"/>
  <c r="G163" i="2" s="1"/>
  <c r="E161" i="2"/>
  <c r="G161" i="2" s="1"/>
  <c r="E159" i="2"/>
  <c r="G159" i="2" s="1"/>
  <c r="E160" i="2"/>
  <c r="G160" i="2" s="1"/>
  <c r="E158" i="2"/>
  <c r="G158" i="2" s="1"/>
  <c r="E156" i="2"/>
  <c r="G156" i="2" s="1"/>
  <c r="E157" i="2"/>
  <c r="G157" i="2" s="1"/>
  <c r="E155" i="2"/>
  <c r="G155" i="2" s="1"/>
  <c r="E153" i="2"/>
  <c r="G153" i="2" s="1"/>
  <c r="E154" i="2"/>
  <c r="G154" i="2" s="1"/>
  <c r="E152" i="2"/>
  <c r="G152" i="2" s="1"/>
  <c r="E150" i="2"/>
  <c r="G150" i="2" s="1"/>
  <c r="E151" i="2"/>
  <c r="G151" i="2" s="1"/>
  <c r="E149" i="2"/>
  <c r="G149" i="2" s="1"/>
  <c r="E147" i="2"/>
  <c r="G147" i="2" s="1"/>
  <c r="E148" i="2"/>
  <c r="G148" i="2" s="1"/>
  <c r="E146" i="2"/>
  <c r="G146" i="2" s="1"/>
  <c r="E144" i="2"/>
  <c r="G144" i="2" s="1"/>
  <c r="E145" i="2"/>
  <c r="G145" i="2" s="1"/>
  <c r="E143" i="2"/>
  <c r="G143" i="2" s="1"/>
  <c r="E141" i="2"/>
  <c r="G141" i="2" s="1"/>
  <c r="E142" i="2"/>
  <c r="G142" i="2" s="1"/>
  <c r="E140" i="2"/>
  <c r="G140" i="2" s="1"/>
  <c r="E139" i="2"/>
  <c r="G139" i="2" s="1"/>
  <c r="E138" i="2"/>
  <c r="G138" i="2" s="1"/>
  <c r="E137" i="2"/>
  <c r="G137" i="2" s="1"/>
  <c r="E135" i="2"/>
  <c r="G135" i="2" s="1"/>
  <c r="E136" i="2"/>
  <c r="G136" i="2" s="1"/>
  <c r="E134" i="2"/>
  <c r="G134" i="2" s="1"/>
  <c r="E132" i="2"/>
  <c r="G132" i="2" s="1"/>
  <c r="E133" i="2"/>
  <c r="G133" i="2" s="1"/>
  <c r="E131" i="2"/>
  <c r="G131" i="2" s="1"/>
  <c r="E129" i="2"/>
  <c r="G129" i="2" s="1"/>
  <c r="E130" i="2"/>
  <c r="G130" i="2" s="1"/>
  <c r="E128" i="2"/>
  <c r="G128" i="2" s="1"/>
  <c r="E126" i="2"/>
  <c r="G126" i="2" s="1"/>
  <c r="E127" i="2"/>
  <c r="G127" i="2" s="1"/>
  <c r="E125" i="2"/>
  <c r="G125" i="2" s="1"/>
  <c r="E123" i="2"/>
  <c r="G123" i="2" s="1"/>
  <c r="E124" i="2"/>
  <c r="G124" i="2" s="1"/>
  <c r="E122" i="2"/>
  <c r="G122" i="2" s="1"/>
  <c r="E121" i="2"/>
  <c r="G121" i="2" s="1"/>
  <c r="E120" i="2"/>
  <c r="G120" i="2" s="1"/>
  <c r="E119" i="2"/>
  <c r="G119" i="2" s="1"/>
  <c r="E117" i="2"/>
  <c r="G117" i="2" s="1"/>
  <c r="E118" i="2"/>
  <c r="G118" i="2" s="1"/>
  <c r="E116" i="2"/>
  <c r="G116" i="2" s="1"/>
  <c r="E114" i="2"/>
  <c r="G114" i="2" s="1"/>
  <c r="E115" i="2"/>
  <c r="G115" i="2" s="1"/>
  <c r="E113" i="2"/>
  <c r="G113" i="2" s="1"/>
  <c r="E112" i="2"/>
  <c r="G112" i="2" s="1"/>
  <c r="E111" i="2"/>
  <c r="G111" i="2" s="1"/>
  <c r="E110" i="2"/>
  <c r="G110" i="2" s="1"/>
  <c r="E109" i="2"/>
  <c r="G109" i="2" s="1"/>
  <c r="E108" i="2"/>
  <c r="G108" i="2" s="1"/>
  <c r="E107" i="2"/>
  <c r="G107" i="2" s="1"/>
  <c r="E105" i="2"/>
  <c r="G105" i="2" s="1"/>
  <c r="E106" i="2"/>
  <c r="G106" i="2" s="1"/>
  <c r="E104" i="2"/>
  <c r="G104" i="2" s="1"/>
  <c r="E102" i="2"/>
  <c r="G102" i="2" s="1"/>
  <c r="E101" i="2"/>
  <c r="G101" i="2" s="1"/>
  <c r="E100" i="2"/>
  <c r="G100" i="2" s="1"/>
  <c r="E99" i="2"/>
  <c r="G99" i="2" s="1"/>
  <c r="E98" i="2"/>
  <c r="G98" i="2" s="1"/>
  <c r="C278" i="11"/>
  <c r="C277" i="11"/>
  <c r="C276" i="11"/>
  <c r="F278" i="11"/>
  <c r="F277" i="11"/>
  <c r="D278" i="11"/>
  <c r="D277" i="11"/>
  <c r="D276" i="11"/>
  <c r="E278" i="11"/>
  <c r="B278" i="11"/>
  <c r="B277" i="11"/>
  <c r="E277" i="11"/>
  <c r="B276" i="11"/>
  <c r="E276" i="11"/>
  <c r="C178" i="10"/>
  <c r="F94" i="10"/>
  <c r="F93" i="10"/>
  <c r="F92" i="10"/>
  <c r="F91" i="10"/>
  <c r="F90" i="10"/>
  <c r="F89" i="10"/>
  <c r="F88" i="10"/>
  <c r="F87" i="10"/>
  <c r="F86" i="10"/>
  <c r="F85" i="10"/>
  <c r="F84" i="10"/>
  <c r="F83" i="10"/>
  <c r="F82" i="10"/>
  <c r="F81" i="10"/>
  <c r="F80" i="10"/>
  <c r="F79" i="10"/>
  <c r="F75" i="10"/>
  <c r="F74" i="10"/>
  <c r="F73" i="10"/>
  <c r="F72" i="10"/>
  <c r="F71" i="10"/>
  <c r="F70" i="10"/>
  <c r="F69" i="10"/>
  <c r="F68" i="10"/>
  <c r="F67" i="10"/>
  <c r="F66" i="10"/>
  <c r="F65" i="10"/>
  <c r="F64" i="10"/>
  <c r="F63" i="10"/>
  <c r="F62" i="10"/>
  <c r="F61" i="10"/>
  <c r="F60" i="10"/>
  <c r="F56" i="10"/>
  <c r="F55" i="10"/>
  <c r="F54" i="10"/>
  <c r="F53" i="10"/>
  <c r="F52" i="10"/>
  <c r="F51" i="10"/>
  <c r="F50" i="10"/>
  <c r="F49" i="10"/>
  <c r="F48" i="10"/>
  <c r="F47" i="10"/>
  <c r="F46" i="10"/>
  <c r="F45" i="10"/>
  <c r="F44" i="10"/>
  <c r="F43" i="10"/>
  <c r="F42" i="10"/>
  <c r="F41" i="10"/>
  <c r="C29" i="10"/>
  <c r="D29" i="10" s="1"/>
  <c r="C28" i="10"/>
  <c r="D28" i="10" s="1"/>
  <c r="D27" i="10"/>
  <c r="D26" i="10"/>
  <c r="C25" i="10"/>
  <c r="D25" i="10" s="1"/>
  <c r="C24" i="10"/>
  <c r="D24" i="10" s="1"/>
  <c r="H17" i="10"/>
  <c r="H16" i="10"/>
  <c r="H15" i="10"/>
  <c r="H14" i="10"/>
  <c r="H13" i="10"/>
  <c r="H12" i="10"/>
  <c r="C8" i="15"/>
  <c r="C195" i="9"/>
  <c r="D195" i="9"/>
  <c r="G31" i="10" l="1"/>
  <c r="G32" i="10" s="1"/>
  <c r="M11" i="10"/>
  <c r="N11" i="10" s="1"/>
  <c r="F30" i="10"/>
  <c r="F31" i="10" s="1"/>
  <c r="F32" i="10" s="1"/>
  <c r="G41" i="10"/>
  <c r="E41" i="10" s="1"/>
  <c r="H30" i="10"/>
  <c r="H31" i="10" s="1"/>
  <c r="H32" i="10" s="1"/>
  <c r="F137" i="10"/>
  <c r="F129" i="10"/>
  <c r="F136" i="10"/>
  <c r="F128" i="10"/>
  <c r="F135" i="10"/>
  <c r="F127" i="10"/>
  <c r="D99" i="10"/>
  <c r="F134" i="10"/>
  <c r="F126" i="10"/>
  <c r="G56" i="10"/>
  <c r="E56" i="10" s="1"/>
  <c r="G48" i="10"/>
  <c r="E48" i="10" s="1"/>
  <c r="M12" i="10"/>
  <c r="N12" i="10" s="1"/>
  <c r="G53" i="10"/>
  <c r="E53" i="10" s="1"/>
  <c r="G45" i="10"/>
  <c r="E45" i="10" s="1"/>
  <c r="N18" i="10"/>
  <c r="L12" i="10"/>
  <c r="G50" i="10"/>
  <c r="E50" i="10" s="1"/>
  <c r="G42" i="10"/>
  <c r="E42" i="10" s="1"/>
  <c r="L18" i="10"/>
  <c r="G55" i="10"/>
  <c r="E55" i="10" s="1"/>
  <c r="G47" i="10"/>
  <c r="E47" i="10" s="1"/>
  <c r="G52" i="10"/>
  <c r="E52" i="10" s="1"/>
  <c r="G49" i="10"/>
  <c r="E49" i="10" s="1"/>
  <c r="L11" i="10"/>
  <c r="G46" i="10"/>
  <c r="E46" i="10" s="1"/>
  <c r="G51" i="10"/>
  <c r="E51" i="10" s="1"/>
  <c r="F133" i="10"/>
  <c r="F125" i="10"/>
  <c r="F132" i="10"/>
  <c r="F124" i="10"/>
  <c r="G44" i="10"/>
  <c r="E44" i="10" s="1"/>
  <c r="G54" i="10"/>
  <c r="E54" i="10" s="1"/>
  <c r="G43" i="10"/>
  <c r="E43" i="10" s="1"/>
  <c r="F131" i="10"/>
  <c r="F123" i="10"/>
  <c r="F130" i="10"/>
  <c r="F122" i="10"/>
  <c r="F154" i="10"/>
  <c r="F146" i="10"/>
  <c r="F153" i="10"/>
  <c r="F145" i="10"/>
  <c r="D100" i="10"/>
  <c r="F152" i="10"/>
  <c r="F144" i="10"/>
  <c r="F151" i="10"/>
  <c r="F143" i="10"/>
  <c r="G75" i="10"/>
  <c r="E75" i="10" s="1"/>
  <c r="G67" i="10"/>
  <c r="E67" i="10" s="1"/>
  <c r="G72" i="10"/>
  <c r="E72" i="10" s="1"/>
  <c r="G64" i="10"/>
  <c r="E64" i="10" s="1"/>
  <c r="G69" i="10"/>
  <c r="E69" i="10" s="1"/>
  <c r="G61" i="10"/>
  <c r="E61" i="10" s="1"/>
  <c r="G66" i="10"/>
  <c r="E66" i="10" s="1"/>
  <c r="G68" i="10"/>
  <c r="E68" i="10" s="1"/>
  <c r="L17" i="10"/>
  <c r="G73" i="10"/>
  <c r="E73" i="10" s="1"/>
  <c r="G70" i="10"/>
  <c r="E70" i="10" s="1"/>
  <c r="F150" i="10"/>
  <c r="F142" i="10"/>
  <c r="F149" i="10"/>
  <c r="F141" i="10"/>
  <c r="G74" i="10"/>
  <c r="E74" i="10" s="1"/>
  <c r="G71" i="10"/>
  <c r="E71" i="10" s="1"/>
  <c r="G63" i="10"/>
  <c r="E63" i="10" s="1"/>
  <c r="M17" i="10"/>
  <c r="N17" i="10" s="1"/>
  <c r="M15" i="10"/>
  <c r="N15" i="10" s="1"/>
  <c r="M13" i="10"/>
  <c r="N13" i="10" s="1"/>
  <c r="G60" i="10"/>
  <c r="E60" i="10" s="1"/>
  <c r="L15" i="10"/>
  <c r="L13" i="10"/>
  <c r="G65" i="10"/>
  <c r="E65" i="10" s="1"/>
  <c r="F148" i="10"/>
  <c r="F140" i="10"/>
  <c r="F147" i="10"/>
  <c r="F139" i="10"/>
  <c r="M14" i="10"/>
  <c r="N14" i="10" s="1"/>
  <c r="G82" i="10"/>
  <c r="E82" i="10" s="1"/>
  <c r="G93" i="10"/>
  <c r="E93" i="10" s="1"/>
  <c r="F113" i="10"/>
  <c r="G85" i="10" l="1"/>
  <c r="E85" i="10" s="1"/>
  <c r="G83" i="10"/>
  <c r="E83" i="10" s="1"/>
  <c r="M16" i="10"/>
  <c r="N16" i="10" s="1"/>
  <c r="F110" i="10"/>
  <c r="G87" i="10"/>
  <c r="E87" i="10" s="1"/>
  <c r="F115" i="10"/>
  <c r="G92" i="10"/>
  <c r="E92" i="10" s="1"/>
  <c r="F107" i="10"/>
  <c r="N19" i="10"/>
  <c r="F111" i="10"/>
  <c r="F105" i="10"/>
  <c r="G90" i="10"/>
  <c r="E90" i="10" s="1"/>
  <c r="G84" i="10"/>
  <c r="E84" i="10" s="1"/>
  <c r="G91" i="10"/>
  <c r="E91" i="10" s="1"/>
  <c r="F118" i="10"/>
  <c r="F106" i="10"/>
  <c r="F108" i="10"/>
  <c r="G80" i="10"/>
  <c r="E80" i="10" s="1"/>
  <c r="G86" i="10"/>
  <c r="E86" i="10" s="1"/>
  <c r="F119" i="10"/>
  <c r="F114" i="10"/>
  <c r="D101" i="10"/>
  <c r="G88" i="10"/>
  <c r="E88" i="10" s="1"/>
  <c r="G81" i="10"/>
  <c r="E81" i="10" s="1"/>
  <c r="L14" i="10"/>
  <c r="F109" i="10"/>
  <c r="F112" i="10"/>
  <c r="F116" i="10"/>
  <c r="G94" i="10"/>
  <c r="E94" i="10" s="1"/>
  <c r="L19" i="10"/>
  <c r="G79" i="10"/>
  <c r="E79" i="10" s="1"/>
  <c r="G89" i="10"/>
  <c r="E89" i="10" s="1"/>
  <c r="L16" i="10"/>
  <c r="F117" i="10"/>
  <c r="F120" i="10"/>
  <c r="G62" i="10"/>
  <c r="E62" i="10" s="1"/>
  <c r="C101" i="3"/>
  <c r="E98" i="3" l="1"/>
  <c r="E101" i="3" s="1"/>
  <c r="I17" i="6" l="1"/>
  <c r="I18" i="6"/>
  <c r="I19" i="6"/>
  <c r="I20" i="6"/>
  <c r="I21" i="6"/>
  <c r="I22" i="6"/>
  <c r="I23" i="6"/>
  <c r="I24" i="6"/>
  <c r="I25" i="6"/>
  <c r="I26" i="6"/>
  <c r="I27" i="6"/>
  <c r="I28" i="6"/>
  <c r="I29" i="6"/>
  <c r="I30" i="6"/>
  <c r="I31" i="6"/>
  <c r="I32" i="6"/>
  <c r="I33" i="6"/>
  <c r="I34" i="6"/>
  <c r="I35" i="6"/>
  <c r="I36" i="6"/>
  <c r="I37" i="6"/>
  <c r="I38" i="6"/>
  <c r="I39" i="6"/>
  <c r="I40" i="6"/>
  <c r="I41" i="6"/>
  <c r="I42" i="6"/>
  <c r="I43" i="6"/>
  <c r="I44" i="6"/>
  <c r="I45" i="6"/>
  <c r="I46" i="6"/>
  <c r="I47" i="6"/>
  <c r="I48" i="6"/>
  <c r="I49" i="6"/>
  <c r="I50" i="6"/>
  <c r="I51" i="6"/>
  <c r="I52" i="6"/>
  <c r="I53" i="6"/>
  <c r="I54" i="6"/>
  <c r="I55" i="6"/>
  <c r="I56" i="6"/>
  <c r="I57" i="6"/>
  <c r="I58" i="6"/>
  <c r="I59" i="6"/>
  <c r="I60" i="6"/>
  <c r="I61" i="6"/>
  <c r="I62" i="6"/>
  <c r="I63" i="6"/>
  <c r="I64" i="6"/>
  <c r="I65" i="6"/>
  <c r="I66" i="6"/>
  <c r="I67" i="6"/>
  <c r="I16" i="6"/>
  <c r="N26" i="6"/>
  <c r="N27" i="6"/>
  <c r="N28" i="6"/>
  <c r="N29" i="6"/>
  <c r="N30" i="6"/>
  <c r="N31" i="6"/>
  <c r="N32" i="6"/>
  <c r="N33" i="6"/>
  <c r="N34" i="6"/>
  <c r="N35" i="6"/>
  <c r="N36" i="6"/>
  <c r="N37" i="6"/>
  <c r="N38" i="6"/>
  <c r="N39" i="6"/>
  <c r="N40" i="6"/>
  <c r="N41" i="6"/>
  <c r="N42" i="6"/>
  <c r="N43" i="6"/>
  <c r="N44" i="6"/>
  <c r="N45" i="6"/>
  <c r="N46" i="6"/>
  <c r="N47" i="6"/>
  <c r="N48" i="6"/>
  <c r="N49" i="6"/>
  <c r="N50" i="6"/>
  <c r="N51" i="6"/>
  <c r="N52" i="6"/>
  <c r="N53" i="6"/>
  <c r="N54" i="6"/>
  <c r="N55" i="6"/>
  <c r="N56" i="6"/>
  <c r="N57" i="6"/>
  <c r="N58" i="6"/>
  <c r="N59" i="6"/>
  <c r="N60" i="6"/>
  <c r="N61" i="6"/>
  <c r="N62" i="6"/>
  <c r="N63" i="6"/>
  <c r="N64" i="6"/>
  <c r="N65" i="6"/>
  <c r="N66" i="6"/>
  <c r="N67" i="6"/>
  <c r="N68" i="6"/>
  <c r="N17" i="6"/>
  <c r="N18" i="6"/>
  <c r="N19" i="6"/>
  <c r="N20" i="6"/>
  <c r="N21" i="6"/>
  <c r="N22" i="6"/>
  <c r="N23" i="6"/>
  <c r="N24" i="6"/>
  <c r="N25" i="6"/>
  <c r="O25" i="6"/>
  <c r="C107" i="3" l="1"/>
  <c r="D107" i="3" s="1"/>
  <c r="C106" i="3"/>
  <c r="D106" i="3" s="1"/>
  <c r="C105" i="3"/>
  <c r="D99" i="3"/>
  <c r="E99" i="3"/>
  <c r="E100" i="3" s="1"/>
  <c r="C100" i="3"/>
  <c r="D98" i="3"/>
  <c r="F66" i="3"/>
  <c r="G66" i="3"/>
  <c r="C63" i="3"/>
  <c r="G68" i="3" s="1"/>
  <c r="C62" i="3"/>
  <c r="F68" i="3" s="1"/>
  <c r="C61" i="3"/>
  <c r="G67" i="3" s="1"/>
  <c r="C135" i="13"/>
  <c r="C92" i="13"/>
  <c r="C93" i="13" s="1"/>
  <c r="C72" i="13"/>
  <c r="C73" i="13" s="1"/>
  <c r="C54" i="13"/>
  <c r="C55" i="13" s="1"/>
  <c r="C40" i="13"/>
  <c r="C41" i="13" s="1"/>
  <c r="C23" i="13"/>
  <c r="C24" i="13" s="1"/>
  <c r="C16" i="13"/>
  <c r="C17" i="13" s="1"/>
  <c r="I182" i="9"/>
  <c r="I181" i="9"/>
  <c r="I180" i="9"/>
  <c r="D100" i="3" l="1"/>
  <c r="D101" i="3"/>
  <c r="D105" i="3"/>
  <c r="G69" i="3"/>
  <c r="G72" i="3" s="1"/>
  <c r="F67" i="3"/>
  <c r="D113" i="3" l="1"/>
  <c r="D114" i="3" s="1"/>
  <c r="C113" i="3"/>
  <c r="C114" i="3" s="1"/>
  <c r="E113" i="3"/>
  <c r="E114" i="3" s="1"/>
  <c r="G71" i="3"/>
  <c r="C78" i="3" s="1"/>
  <c r="D79" i="3"/>
  <c r="E79" i="3"/>
  <c r="C79" i="3"/>
  <c r="F69" i="3"/>
  <c r="F72" i="3" s="1"/>
  <c r="O18" i="6"/>
  <c r="O19" i="6"/>
  <c r="O20" i="6"/>
  <c r="O21" i="6"/>
  <c r="O22" i="6"/>
  <c r="O23" i="6"/>
  <c r="O24" i="6"/>
  <c r="O26" i="6"/>
  <c r="O27" i="6"/>
  <c r="O28" i="6"/>
  <c r="O29" i="6"/>
  <c r="O30" i="6"/>
  <c r="O31" i="6"/>
  <c r="O32" i="6"/>
  <c r="O33" i="6"/>
  <c r="O34" i="6"/>
  <c r="O35" i="6"/>
  <c r="O36" i="6"/>
  <c r="O37" i="6"/>
  <c r="O38" i="6"/>
  <c r="O39" i="6"/>
  <c r="O40" i="6"/>
  <c r="O41" i="6"/>
  <c r="O42" i="6"/>
  <c r="O43" i="6"/>
  <c r="O44" i="6"/>
  <c r="O45" i="6"/>
  <c r="O46" i="6"/>
  <c r="O47" i="6"/>
  <c r="O48" i="6"/>
  <c r="O49" i="6"/>
  <c r="O50" i="6"/>
  <c r="O51" i="6"/>
  <c r="O52" i="6"/>
  <c r="O53" i="6"/>
  <c r="O54" i="6"/>
  <c r="O55" i="6"/>
  <c r="O56" i="6"/>
  <c r="O57" i="6"/>
  <c r="O58" i="6"/>
  <c r="O59" i="6"/>
  <c r="O60" i="6"/>
  <c r="O61" i="6"/>
  <c r="O62" i="6"/>
  <c r="O63" i="6"/>
  <c r="O64" i="6"/>
  <c r="O65" i="6"/>
  <c r="O66" i="6"/>
  <c r="O67" i="6"/>
  <c r="O17" i="6"/>
  <c r="M17" i="6"/>
  <c r="K180" i="9"/>
  <c r="K182" i="9"/>
  <c r="K181" i="9"/>
  <c r="J182" i="9"/>
  <c r="J181" i="9"/>
  <c r="J180" i="9"/>
  <c r="D186" i="9" l="1"/>
  <c r="E186" i="9" s="1"/>
  <c r="D187" i="9"/>
  <c r="E187" i="9" s="1"/>
  <c r="D188" i="9"/>
  <c r="E188" i="9" s="1"/>
  <c r="C81" i="3"/>
  <c r="C80" i="3"/>
  <c r="D78" i="3"/>
  <c r="E78" i="3"/>
  <c r="F71" i="3"/>
  <c r="D180" i="9"/>
  <c r="E250" i="11"/>
  <c r="E249" i="11"/>
  <c r="E248" i="11"/>
  <c r="B284" i="11" s="1"/>
  <c r="D250" i="11"/>
  <c r="D249" i="11"/>
  <c r="D248" i="11"/>
  <c r="C250" i="11"/>
  <c r="C249" i="11"/>
  <c r="G285" i="11" l="1"/>
  <c r="G286" i="11"/>
  <c r="G284" i="11"/>
  <c r="C286" i="11"/>
  <c r="C285" i="11"/>
  <c r="C284" i="11"/>
  <c r="D284" i="11"/>
  <c r="D286" i="11"/>
  <c r="D285" i="11"/>
  <c r="B286" i="11"/>
  <c r="B285" i="11"/>
  <c r="F286" i="11"/>
  <c r="F285" i="11"/>
  <c r="F284" i="11"/>
  <c r="E286" i="11"/>
  <c r="E284" i="11"/>
  <c r="E285" i="11"/>
  <c r="E81" i="3"/>
  <c r="E80" i="3"/>
  <c r="D81" i="3"/>
  <c r="D80" i="3"/>
  <c r="O166" i="11"/>
  <c r="M166" i="11" s="1"/>
  <c r="D166" i="11" s="1"/>
  <c r="O165" i="11"/>
  <c r="M165" i="11" s="1"/>
  <c r="G165" i="11" s="1"/>
  <c r="O164" i="11"/>
  <c r="M164" i="11" s="1"/>
  <c r="B164" i="11" s="1"/>
  <c r="O163" i="11"/>
  <c r="M163" i="11" s="1"/>
  <c r="O162" i="11"/>
  <c r="M162" i="11" s="1"/>
  <c r="O161" i="11"/>
  <c r="M161" i="11" s="1"/>
  <c r="O160" i="11"/>
  <c r="M160" i="11" s="1"/>
  <c r="F160" i="11" s="1"/>
  <c r="O159" i="11"/>
  <c r="M159" i="11" s="1"/>
  <c r="I159" i="11" s="1"/>
  <c r="O152" i="11"/>
  <c r="M152" i="11" s="1"/>
  <c r="O151" i="11"/>
  <c r="M151" i="11" s="1"/>
  <c r="O150" i="11"/>
  <c r="M150" i="11" s="1"/>
  <c r="D150" i="11" s="1"/>
  <c r="O149" i="11"/>
  <c r="M149" i="11" s="1"/>
  <c r="G149" i="11" s="1"/>
  <c r="O148" i="11"/>
  <c r="M148" i="11" s="1"/>
  <c r="J148" i="11" s="1"/>
  <c r="M158" i="11"/>
  <c r="D158" i="11" s="1"/>
  <c r="M157" i="11"/>
  <c r="G157" i="11" s="1"/>
  <c r="M156" i="11"/>
  <c r="B156" i="11" s="1"/>
  <c r="M155" i="11"/>
  <c r="E155" i="11" s="1"/>
  <c r="M154" i="11"/>
  <c r="H154" i="11" s="1"/>
  <c r="M153" i="11"/>
  <c r="C153" i="11" s="1"/>
  <c r="C161" i="11" l="1"/>
  <c r="L161" i="11"/>
  <c r="H162" i="11"/>
  <c r="L162" i="11"/>
  <c r="E154" i="11"/>
  <c r="H161" i="11"/>
  <c r="G161" i="11"/>
  <c r="K157" i="11"/>
  <c r="L154" i="11"/>
  <c r="E163" i="11"/>
  <c r="B163" i="11"/>
  <c r="I163" i="11"/>
  <c r="J163" i="11"/>
  <c r="I166" i="11"/>
  <c r="E162" i="11"/>
  <c r="F159" i="11"/>
  <c r="I155" i="11"/>
  <c r="H150" i="11"/>
  <c r="D165" i="11"/>
  <c r="D162" i="11"/>
  <c r="L157" i="11"/>
  <c r="B155" i="11"/>
  <c r="K160" i="11"/>
  <c r="C157" i="11"/>
  <c r="D154" i="11"/>
  <c r="J160" i="11"/>
  <c r="G156" i="11"/>
  <c r="H153" i="11"/>
  <c r="G164" i="11"/>
  <c r="D157" i="11"/>
  <c r="G148" i="11"/>
  <c r="C160" i="11"/>
  <c r="F156" i="11"/>
  <c r="G153" i="11"/>
  <c r="F164" i="11"/>
  <c r="F148" i="11"/>
  <c r="B160" i="11"/>
  <c r="J155" i="11"/>
  <c r="I150" i="11"/>
  <c r="I151" i="11"/>
  <c r="B151" i="11"/>
  <c r="J151" i="11"/>
  <c r="C151" i="11"/>
  <c r="K151" i="11"/>
  <c r="F151" i="11"/>
  <c r="D151" i="11"/>
  <c r="L151" i="11"/>
  <c r="E151" i="11"/>
  <c r="G151" i="11"/>
  <c r="H151" i="11"/>
  <c r="F152" i="11"/>
  <c r="G152" i="11"/>
  <c r="C152" i="11"/>
  <c r="H152" i="11"/>
  <c r="J152" i="11"/>
  <c r="K152" i="11"/>
  <c r="I152" i="11"/>
  <c r="D152" i="11"/>
  <c r="L152" i="11"/>
  <c r="E152" i="11"/>
  <c r="B152" i="11"/>
  <c r="H166" i="11"/>
  <c r="K149" i="11"/>
  <c r="I148" i="11"/>
  <c r="K166" i="11"/>
  <c r="C166" i="11"/>
  <c r="F165" i="11"/>
  <c r="I164" i="11"/>
  <c r="L163" i="11"/>
  <c r="D163" i="11"/>
  <c r="G162" i="11"/>
  <c r="J161" i="11"/>
  <c r="B161" i="11"/>
  <c r="E160" i="11"/>
  <c r="H159" i="11"/>
  <c r="K158" i="11"/>
  <c r="C158" i="11"/>
  <c r="F157" i="11"/>
  <c r="I156" i="11"/>
  <c r="L155" i="11"/>
  <c r="D155" i="11"/>
  <c r="G154" i="11"/>
  <c r="J153" i="11"/>
  <c r="B153" i="11"/>
  <c r="K150" i="11"/>
  <c r="C150" i="11"/>
  <c r="F149" i="11"/>
  <c r="C165" i="11"/>
  <c r="H148" i="11"/>
  <c r="J166" i="11"/>
  <c r="B166" i="11"/>
  <c r="E165" i="11"/>
  <c r="H164" i="11"/>
  <c r="K163" i="11"/>
  <c r="C163" i="11"/>
  <c r="F162" i="11"/>
  <c r="I161" i="11"/>
  <c r="L160" i="11"/>
  <c r="D160" i="11"/>
  <c r="G159" i="11"/>
  <c r="J158" i="11"/>
  <c r="B158" i="11"/>
  <c r="E157" i="11"/>
  <c r="H156" i="11"/>
  <c r="K155" i="11"/>
  <c r="C155" i="11"/>
  <c r="F154" i="11"/>
  <c r="I153" i="11"/>
  <c r="J150" i="11"/>
  <c r="B150" i="11"/>
  <c r="E149" i="11"/>
  <c r="I158" i="11"/>
  <c r="D149" i="11"/>
  <c r="K165" i="11"/>
  <c r="B148" i="11"/>
  <c r="E148" i="11"/>
  <c r="G166" i="11"/>
  <c r="J165" i="11"/>
  <c r="B165" i="11"/>
  <c r="E164" i="11"/>
  <c r="H163" i="11"/>
  <c r="K162" i="11"/>
  <c r="C162" i="11"/>
  <c r="F161" i="11"/>
  <c r="I160" i="11"/>
  <c r="L159" i="11"/>
  <c r="D159" i="11"/>
  <c r="G158" i="11"/>
  <c r="J157" i="11"/>
  <c r="B157" i="11"/>
  <c r="E156" i="11"/>
  <c r="H155" i="11"/>
  <c r="K154" i="11"/>
  <c r="C154" i="11"/>
  <c r="F153" i="11"/>
  <c r="G150" i="11"/>
  <c r="J149" i="11"/>
  <c r="B149" i="11"/>
  <c r="L165" i="11"/>
  <c r="C149" i="11"/>
  <c r="L148" i="11"/>
  <c r="D148" i="11"/>
  <c r="F166" i="11"/>
  <c r="I165" i="11"/>
  <c r="L164" i="11"/>
  <c r="D164" i="11"/>
  <c r="G163" i="11"/>
  <c r="J162" i="11"/>
  <c r="B162" i="11"/>
  <c r="E161" i="11"/>
  <c r="H160" i="11"/>
  <c r="K159" i="11"/>
  <c r="C159" i="11"/>
  <c r="F158" i="11"/>
  <c r="I157" i="11"/>
  <c r="L156" i="11"/>
  <c r="D156" i="11"/>
  <c r="G155" i="11"/>
  <c r="J154" i="11"/>
  <c r="B154" i="11"/>
  <c r="E153" i="11"/>
  <c r="F150" i="11"/>
  <c r="I149" i="11"/>
  <c r="L149" i="11"/>
  <c r="E159" i="11"/>
  <c r="K148" i="11"/>
  <c r="C148" i="11"/>
  <c r="E166" i="11"/>
  <c r="H165" i="11"/>
  <c r="K164" i="11"/>
  <c r="C164" i="11"/>
  <c r="F163" i="11"/>
  <c r="I162" i="11"/>
  <c r="D161" i="11"/>
  <c r="G160" i="11"/>
  <c r="J159" i="11"/>
  <c r="B159" i="11"/>
  <c r="E158" i="11"/>
  <c r="H157" i="11"/>
  <c r="K156" i="11"/>
  <c r="C156" i="11"/>
  <c r="F155" i="11"/>
  <c r="I154" i="11"/>
  <c r="L153" i="11"/>
  <c r="D153" i="11"/>
  <c r="E150" i="11"/>
  <c r="H149" i="11"/>
  <c r="H158" i="11"/>
  <c r="L166" i="11"/>
  <c r="J164" i="11"/>
  <c r="K161" i="11"/>
  <c r="L158" i="11"/>
  <c r="J156" i="11"/>
  <c r="K153" i="11"/>
  <c r="L150" i="11"/>
  <c r="M18" i="6"/>
  <c r="M19" i="6"/>
  <c r="M20" i="6"/>
  <c r="M21" i="6"/>
  <c r="M22" i="6"/>
  <c r="M23" i="6"/>
  <c r="M24" i="6"/>
  <c r="M25" i="6"/>
  <c r="M26" i="6"/>
  <c r="M27" i="6"/>
  <c r="M28" i="6"/>
  <c r="M29" i="6"/>
  <c r="M30" i="6"/>
  <c r="M31" i="6"/>
  <c r="M32" i="6"/>
  <c r="M33" i="6"/>
  <c r="M34" i="6"/>
  <c r="M35" i="6"/>
  <c r="M36" i="6"/>
  <c r="M37" i="6"/>
  <c r="M38" i="6"/>
  <c r="M39" i="6"/>
  <c r="M40" i="6"/>
  <c r="M41" i="6"/>
  <c r="M42" i="6"/>
  <c r="M43" i="6"/>
  <c r="M44" i="6"/>
  <c r="M45" i="6"/>
  <c r="M46" i="6"/>
  <c r="M47" i="6"/>
  <c r="M48" i="6"/>
  <c r="M49" i="6"/>
  <c r="M50" i="6"/>
  <c r="M51" i="6"/>
  <c r="M52" i="6"/>
  <c r="M53" i="6"/>
  <c r="M54" i="6"/>
  <c r="M55" i="6"/>
  <c r="M56" i="6"/>
  <c r="M57" i="6"/>
  <c r="M58" i="6"/>
  <c r="M59" i="6"/>
  <c r="M60" i="6"/>
  <c r="M61" i="6"/>
  <c r="M62" i="6"/>
  <c r="M63" i="6"/>
  <c r="M64" i="6"/>
  <c r="M65" i="6"/>
  <c r="M66" i="6"/>
  <c r="M67" i="6"/>
  <c r="M68" i="6"/>
  <c r="AV7" i="8"/>
  <c r="AW7" i="8"/>
  <c r="AX7" i="8"/>
  <c r="AV8" i="8"/>
  <c r="AW8" i="8"/>
  <c r="AX8" i="8"/>
  <c r="AV9" i="8"/>
  <c r="AW9" i="8"/>
  <c r="AX9" i="8"/>
  <c r="AV10" i="8"/>
  <c r="AW10" i="8"/>
  <c r="AX10" i="8"/>
  <c r="AV11" i="8"/>
  <c r="AW11" i="8"/>
  <c r="AX11" i="8"/>
  <c r="AX6" i="8"/>
  <c r="AW6" i="8"/>
  <c r="AV6" i="8"/>
  <c r="E30" i="8"/>
  <c r="S80" i="8"/>
  <c r="N80" i="8"/>
  <c r="H82" i="8" l="1"/>
  <c r="I82" i="8" s="1"/>
  <c r="I81" i="8"/>
  <c r="H116" i="8"/>
  <c r="I116" i="8" s="1"/>
  <c r="C117" i="8"/>
  <c r="D117" i="8" s="1"/>
  <c r="AV13" i="8"/>
  <c r="Y49" i="8" s="1"/>
  <c r="AW13" i="8"/>
  <c r="Y50" i="8" s="1"/>
  <c r="C115" i="8"/>
  <c r="AX14" i="8"/>
  <c r="Y54" i="8" s="1"/>
  <c r="H80" i="8" s="1"/>
  <c r="C107" i="8"/>
  <c r="H110" i="8"/>
  <c r="H126" i="8"/>
  <c r="C106" i="8"/>
  <c r="D106" i="8" s="1"/>
  <c r="H102" i="8"/>
  <c r="C130" i="8"/>
  <c r="D130" i="8" s="1"/>
  <c r="C98" i="8"/>
  <c r="D98" i="8" s="1"/>
  <c r="H86" i="8"/>
  <c r="C114" i="8"/>
  <c r="H118" i="8"/>
  <c r="C99" i="8"/>
  <c r="H94" i="8"/>
  <c r="AX13" i="8"/>
  <c r="Y51" i="8" s="1"/>
  <c r="C80" i="8" s="1"/>
  <c r="D80" i="8" s="1"/>
  <c r="AW14" i="8"/>
  <c r="Y53" i="8" s="1"/>
  <c r="C123" i="8"/>
  <c r="C91" i="8"/>
  <c r="AV14" i="8"/>
  <c r="Y52" i="8" s="1"/>
  <c r="C122" i="8"/>
  <c r="D122" i="8" s="1"/>
  <c r="C83" i="8"/>
  <c r="C126" i="8"/>
  <c r="C118" i="8"/>
  <c r="C110" i="8"/>
  <c r="C102" i="8"/>
  <c r="D102" i="8" s="1"/>
  <c r="C94" i="8"/>
  <c r="C86" i="8"/>
  <c r="D86" i="8" s="1"/>
  <c r="H129" i="8"/>
  <c r="I129" i="8" s="1"/>
  <c r="H121" i="8"/>
  <c r="H113" i="8"/>
  <c r="M113" i="8" s="1"/>
  <c r="H105" i="8"/>
  <c r="H97" i="8"/>
  <c r="I97" i="8" s="1"/>
  <c r="H89" i="8"/>
  <c r="C125" i="8"/>
  <c r="D125" i="8" s="1"/>
  <c r="C109" i="8"/>
  <c r="C101" i="8"/>
  <c r="D101" i="8" s="1"/>
  <c r="C93" i="8"/>
  <c r="C85" i="8"/>
  <c r="H128" i="8"/>
  <c r="M128" i="8" s="1"/>
  <c r="H120" i="8"/>
  <c r="H112" i="8"/>
  <c r="M112" i="8" s="1"/>
  <c r="H104" i="8"/>
  <c r="H96" i="8"/>
  <c r="I96" i="8" s="1"/>
  <c r="H88" i="8"/>
  <c r="C124" i="8"/>
  <c r="C116" i="8"/>
  <c r="D116" i="8" s="1"/>
  <c r="C108" i="8"/>
  <c r="C100" i="8"/>
  <c r="C92" i="8"/>
  <c r="C84" i="8"/>
  <c r="D84" i="8" s="1"/>
  <c r="H127" i="8"/>
  <c r="M127" i="8" s="1"/>
  <c r="H119" i="8"/>
  <c r="H111" i="8"/>
  <c r="I111" i="8" s="1"/>
  <c r="H103" i="8"/>
  <c r="H95" i="8"/>
  <c r="H87" i="8"/>
  <c r="C90" i="8"/>
  <c r="D90" i="8" s="1"/>
  <c r="C82" i="8"/>
  <c r="D82" i="8" s="1"/>
  <c r="H125" i="8"/>
  <c r="I125" i="8" s="1"/>
  <c r="H117" i="8"/>
  <c r="I117" i="8" s="1"/>
  <c r="H109" i="8"/>
  <c r="I109" i="8" s="1"/>
  <c r="H101" i="8"/>
  <c r="I101" i="8" s="1"/>
  <c r="H93" i="8"/>
  <c r="H85" i="8"/>
  <c r="C129" i="8"/>
  <c r="D129" i="8" s="1"/>
  <c r="C121" i="8"/>
  <c r="D121" i="8" s="1"/>
  <c r="C113" i="8"/>
  <c r="D113" i="8" s="1"/>
  <c r="C105" i="8"/>
  <c r="D105" i="8" s="1"/>
  <c r="C97" i="8"/>
  <c r="C89" i="8"/>
  <c r="D89" i="8" s="1"/>
  <c r="H124" i="8"/>
  <c r="M124" i="8" s="1"/>
  <c r="H108" i="8"/>
  <c r="I108" i="8" s="1"/>
  <c r="H100" i="8"/>
  <c r="I100" i="8" s="1"/>
  <c r="H92" i="8"/>
  <c r="I92" i="8" s="1"/>
  <c r="H84" i="8"/>
  <c r="C128" i="8"/>
  <c r="C120" i="8"/>
  <c r="D120" i="8" s="1"/>
  <c r="C112" i="8"/>
  <c r="C104" i="8"/>
  <c r="D104" i="8" s="1"/>
  <c r="C96" i="8"/>
  <c r="D96" i="8" s="1"/>
  <c r="C88" i="8"/>
  <c r="H123" i="8"/>
  <c r="H115" i="8"/>
  <c r="H107" i="8"/>
  <c r="H99" i="8"/>
  <c r="I99" i="8" s="1"/>
  <c r="H91" i="8"/>
  <c r="I91" i="8" s="1"/>
  <c r="H83" i="8"/>
  <c r="I83" i="8" s="1"/>
  <c r="C127" i="8"/>
  <c r="D127" i="8" s="1"/>
  <c r="C119" i="8"/>
  <c r="D119" i="8" s="1"/>
  <c r="C111" i="8"/>
  <c r="C103" i="8"/>
  <c r="D103" i="8" s="1"/>
  <c r="C95" i="8"/>
  <c r="D95" i="8" s="1"/>
  <c r="C87" i="8"/>
  <c r="D87" i="8" s="1"/>
  <c r="H130" i="8"/>
  <c r="I130" i="8" s="1"/>
  <c r="H122" i="8"/>
  <c r="H114" i="8"/>
  <c r="I114" i="8" s="1"/>
  <c r="H106" i="8"/>
  <c r="H98" i="8"/>
  <c r="H90" i="8"/>
  <c r="M82" i="8" l="1"/>
  <c r="R82" i="8" s="1"/>
  <c r="S82" i="8" s="1"/>
  <c r="I80" i="8"/>
  <c r="M125" i="8"/>
  <c r="R125" i="8" s="1"/>
  <c r="S125" i="8" s="1"/>
  <c r="M129" i="8"/>
  <c r="R129" i="8" s="1"/>
  <c r="S129" i="8" s="1"/>
  <c r="M130" i="8"/>
  <c r="R130" i="8" s="1"/>
  <c r="S130" i="8" s="1"/>
  <c r="M96" i="8"/>
  <c r="R96" i="8" s="1"/>
  <c r="S96" i="8" s="1"/>
  <c r="I113" i="8"/>
  <c r="I124" i="8"/>
  <c r="M101" i="8"/>
  <c r="R101" i="8" s="1"/>
  <c r="S101" i="8" s="1"/>
  <c r="M114" i="8"/>
  <c r="N114" i="8" s="1"/>
  <c r="I127" i="8"/>
  <c r="M116" i="8"/>
  <c r="R116" i="8" s="1"/>
  <c r="S116" i="8" s="1"/>
  <c r="M117" i="8"/>
  <c r="N117" i="8" s="1"/>
  <c r="D85" i="8"/>
  <c r="M92" i="8"/>
  <c r="R92" i="8" s="1"/>
  <c r="S92" i="8" s="1"/>
  <c r="M108" i="8"/>
  <c r="R108" i="8" s="1"/>
  <c r="S108" i="8" s="1"/>
  <c r="I128" i="8"/>
  <c r="D97" i="8"/>
  <c r="M91" i="8"/>
  <c r="N91" i="8" s="1"/>
  <c r="M109" i="8"/>
  <c r="R109" i="8" s="1"/>
  <c r="S109" i="8" s="1"/>
  <c r="M99" i="8"/>
  <c r="N99" i="8" s="1"/>
  <c r="M100" i="8"/>
  <c r="R100" i="8" s="1"/>
  <c r="S100" i="8" s="1"/>
  <c r="D99" i="8"/>
  <c r="I98" i="8"/>
  <c r="D128" i="8"/>
  <c r="I112" i="8"/>
  <c r="I121" i="8"/>
  <c r="I84" i="8"/>
  <c r="D109" i="8"/>
  <c r="M97" i="8"/>
  <c r="N97" i="8" s="1"/>
  <c r="D107" i="8"/>
  <c r="D93" i="8"/>
  <c r="D108" i="8"/>
  <c r="D100" i="8"/>
  <c r="M103" i="8"/>
  <c r="D94" i="8"/>
  <c r="D114" i="8"/>
  <c r="D115" i="8"/>
  <c r="M120" i="8"/>
  <c r="D126" i="8"/>
  <c r="I95" i="8"/>
  <c r="D91" i="8"/>
  <c r="D92" i="8"/>
  <c r="M111" i="8"/>
  <c r="R111" i="8" s="1"/>
  <c r="S111" i="8" s="1"/>
  <c r="M81" i="8"/>
  <c r="D110" i="8"/>
  <c r="D111" i="8"/>
  <c r="D123" i="8"/>
  <c r="D88" i="8"/>
  <c r="D124" i="8"/>
  <c r="D112" i="8"/>
  <c r="D83" i="8"/>
  <c r="D118" i="8"/>
  <c r="I87" i="8"/>
  <c r="M87" i="8"/>
  <c r="I94" i="8"/>
  <c r="M94" i="8"/>
  <c r="N113" i="8"/>
  <c r="R113" i="8"/>
  <c r="S113" i="8" s="1"/>
  <c r="R127" i="8"/>
  <c r="S127" i="8" s="1"/>
  <c r="N127" i="8"/>
  <c r="N124" i="8"/>
  <c r="R124" i="8"/>
  <c r="S124" i="8" s="1"/>
  <c r="I85" i="8"/>
  <c r="M85" i="8"/>
  <c r="M104" i="8"/>
  <c r="I104" i="8"/>
  <c r="M90" i="8"/>
  <c r="I90" i="8"/>
  <c r="R128" i="8"/>
  <c r="S128" i="8" s="1"/>
  <c r="N128" i="8"/>
  <c r="I119" i="8"/>
  <c r="M119" i="8"/>
  <c r="I102" i="8"/>
  <c r="M102" i="8"/>
  <c r="I120" i="8"/>
  <c r="M89" i="8"/>
  <c r="I89" i="8"/>
  <c r="M122" i="8"/>
  <c r="I122" i="8"/>
  <c r="M105" i="8"/>
  <c r="I105" i="8"/>
  <c r="I86" i="8"/>
  <c r="M86" i="8"/>
  <c r="M98" i="8"/>
  <c r="M121" i="8"/>
  <c r="M106" i="8"/>
  <c r="I106" i="8"/>
  <c r="R112" i="8"/>
  <c r="S112" i="8" s="1"/>
  <c r="N112" i="8"/>
  <c r="I176" i="11"/>
  <c r="I177" i="11"/>
  <c r="I178" i="11"/>
  <c r="I179" i="11"/>
  <c r="I180" i="11"/>
  <c r="I181" i="11"/>
  <c r="C192" i="11" s="1"/>
  <c r="I182" i="11"/>
  <c r="I183" i="11"/>
  <c r="I184" i="11"/>
  <c r="C191" i="11" s="1"/>
  <c r="I175" i="11"/>
  <c r="O141" i="11"/>
  <c r="M141" i="11" s="1"/>
  <c r="O140" i="11"/>
  <c r="M140" i="11" s="1"/>
  <c r="E140" i="11" s="1"/>
  <c r="O139" i="11"/>
  <c r="M139" i="11" s="1"/>
  <c r="O138" i="11"/>
  <c r="M138" i="11" s="1"/>
  <c r="O137" i="11"/>
  <c r="M137" i="11" s="1"/>
  <c r="O136" i="11"/>
  <c r="M136" i="11" s="1"/>
  <c r="H136" i="11" s="1"/>
  <c r="O135" i="11"/>
  <c r="M135" i="11" s="1"/>
  <c r="I135" i="11" s="1"/>
  <c r="O134" i="11"/>
  <c r="M134" i="11" s="1"/>
  <c r="O127" i="11"/>
  <c r="M127" i="11" s="1"/>
  <c r="O126" i="11"/>
  <c r="M126" i="11" s="1"/>
  <c r="O125" i="11"/>
  <c r="M125" i="11" s="1"/>
  <c r="O124" i="11"/>
  <c r="M124" i="11" s="1"/>
  <c r="O123" i="11"/>
  <c r="M123" i="11" s="1"/>
  <c r="O97" i="11"/>
  <c r="M97" i="11" s="1"/>
  <c r="C97" i="11" s="1"/>
  <c r="M133" i="11"/>
  <c r="F133" i="11" s="1"/>
  <c r="M132" i="11"/>
  <c r="I132" i="11" s="1"/>
  <c r="M131" i="11"/>
  <c r="D131" i="11" s="1"/>
  <c r="M130" i="11"/>
  <c r="G130" i="11" s="1"/>
  <c r="M129" i="11"/>
  <c r="B129" i="11" s="1"/>
  <c r="M128" i="11"/>
  <c r="E128" i="11" s="1"/>
  <c r="M102" i="11"/>
  <c r="M103" i="11"/>
  <c r="M104" i="11"/>
  <c r="M105" i="11"/>
  <c r="M106" i="11"/>
  <c r="M107" i="11"/>
  <c r="O115" i="11"/>
  <c r="M115" i="11" s="1"/>
  <c r="O114" i="11"/>
  <c r="M114" i="11" s="1"/>
  <c r="O113" i="11"/>
  <c r="M113" i="11" s="1"/>
  <c r="O112" i="11"/>
  <c r="M112" i="11" s="1"/>
  <c r="O111" i="11"/>
  <c r="M111" i="11" s="1"/>
  <c r="O110" i="11"/>
  <c r="M110" i="11" s="1"/>
  <c r="O109" i="11"/>
  <c r="M109" i="11" s="1"/>
  <c r="O108" i="11"/>
  <c r="M108" i="11" s="1"/>
  <c r="O101" i="11"/>
  <c r="M101" i="11" s="1"/>
  <c r="O100" i="11"/>
  <c r="M100" i="11" s="1"/>
  <c r="O99" i="11"/>
  <c r="M99" i="11" s="1"/>
  <c r="O98" i="11"/>
  <c r="M98" i="11" s="1"/>
  <c r="C98" i="11" s="1"/>
  <c r="N82" i="8" l="1"/>
  <c r="E81" i="8"/>
  <c r="F81" i="8" s="1"/>
  <c r="N129" i="8"/>
  <c r="N125" i="8"/>
  <c r="N130" i="8"/>
  <c r="C190" i="11"/>
  <c r="C189" i="11"/>
  <c r="K133" i="11"/>
  <c r="I133" i="11"/>
  <c r="I131" i="11"/>
  <c r="L132" i="11"/>
  <c r="G131" i="11"/>
  <c r="G132" i="11"/>
  <c r="F130" i="11"/>
  <c r="J133" i="11"/>
  <c r="H132" i="11"/>
  <c r="H131" i="11"/>
  <c r="E130" i="11"/>
  <c r="D128" i="11"/>
  <c r="C188" i="11"/>
  <c r="C128" i="11"/>
  <c r="G133" i="11"/>
  <c r="F132" i="11"/>
  <c r="E131" i="11"/>
  <c r="C130" i="11"/>
  <c r="E133" i="11"/>
  <c r="E132" i="11"/>
  <c r="C131" i="11"/>
  <c r="I129" i="11"/>
  <c r="D133" i="11"/>
  <c r="D132" i="11"/>
  <c r="B131" i="11"/>
  <c r="H129" i="11"/>
  <c r="K128" i="11"/>
  <c r="C133" i="11"/>
  <c r="K131" i="11"/>
  <c r="L130" i="11"/>
  <c r="G129" i="11"/>
  <c r="D130" i="11"/>
  <c r="L133" i="11"/>
  <c r="B133" i="11"/>
  <c r="J131" i="11"/>
  <c r="K130" i="11"/>
  <c r="L128" i="11"/>
  <c r="J128" i="11"/>
  <c r="B128" i="11"/>
  <c r="F129" i="11"/>
  <c r="I128" i="11"/>
  <c r="J130" i="11"/>
  <c r="B130" i="11"/>
  <c r="E129" i="11"/>
  <c r="H128" i="11"/>
  <c r="H133" i="11"/>
  <c r="K132" i="11"/>
  <c r="C132" i="11"/>
  <c r="F131" i="11"/>
  <c r="I130" i="11"/>
  <c r="L129" i="11"/>
  <c r="D129" i="11"/>
  <c r="G128" i="11"/>
  <c r="J132" i="11"/>
  <c r="B132" i="11"/>
  <c r="H130" i="11"/>
  <c r="K129" i="11"/>
  <c r="C129" i="11"/>
  <c r="F128" i="11"/>
  <c r="L131" i="11"/>
  <c r="J129" i="11"/>
  <c r="N92" i="8"/>
  <c r="N96" i="8"/>
  <c r="N116" i="8"/>
  <c r="R117" i="8"/>
  <c r="S117" i="8" s="1"/>
  <c r="R99" i="8"/>
  <c r="S99" i="8" s="1"/>
  <c r="N101" i="8"/>
  <c r="R114" i="8"/>
  <c r="S114" i="8" s="1"/>
  <c r="N108" i="8"/>
  <c r="N111" i="8"/>
  <c r="R91" i="8"/>
  <c r="S91" i="8" s="1"/>
  <c r="M84" i="8"/>
  <c r="N84" i="8" s="1"/>
  <c r="E111" i="8"/>
  <c r="F111" i="8" s="1"/>
  <c r="N100" i="8"/>
  <c r="R97" i="8"/>
  <c r="S97" i="8" s="1"/>
  <c r="E125" i="8"/>
  <c r="F125" i="8" s="1"/>
  <c r="E91" i="8"/>
  <c r="F91" i="8" s="1"/>
  <c r="E97" i="8"/>
  <c r="F97" i="8" s="1"/>
  <c r="N109" i="8"/>
  <c r="E88" i="8"/>
  <c r="F88" i="8" s="1"/>
  <c r="E126" i="8"/>
  <c r="F126" i="8" s="1"/>
  <c r="E118" i="8"/>
  <c r="F118" i="8" s="1"/>
  <c r="I103" i="8"/>
  <c r="E100" i="8"/>
  <c r="F100" i="8" s="1"/>
  <c r="E84" i="8"/>
  <c r="F84" i="8" s="1"/>
  <c r="E83" i="8"/>
  <c r="F83" i="8" s="1"/>
  <c r="E110" i="8"/>
  <c r="F110" i="8" s="1"/>
  <c r="I110" i="8"/>
  <c r="M110" i="8"/>
  <c r="E115" i="8"/>
  <c r="F115" i="8" s="1"/>
  <c r="E93" i="8"/>
  <c r="F93" i="8" s="1"/>
  <c r="E106" i="8"/>
  <c r="F106" i="8" s="1"/>
  <c r="E119" i="8"/>
  <c r="F119" i="8" s="1"/>
  <c r="E102" i="8"/>
  <c r="F102" i="8" s="1"/>
  <c r="I126" i="8"/>
  <c r="M126" i="8"/>
  <c r="M83" i="8"/>
  <c r="E127" i="8"/>
  <c r="F127" i="8" s="1"/>
  <c r="E90" i="8"/>
  <c r="F90" i="8" s="1"/>
  <c r="E101" i="8"/>
  <c r="F101" i="8" s="1"/>
  <c r="E130" i="8"/>
  <c r="F130" i="8" s="1"/>
  <c r="E108" i="8"/>
  <c r="F108" i="8" s="1"/>
  <c r="E129" i="8"/>
  <c r="F129" i="8" s="1"/>
  <c r="E120" i="8"/>
  <c r="F120" i="8" s="1"/>
  <c r="E103" i="8"/>
  <c r="F103" i="8" s="1"/>
  <c r="E86" i="8"/>
  <c r="F86" i="8" s="1"/>
  <c r="M88" i="8"/>
  <c r="I88" i="8"/>
  <c r="I93" i="8"/>
  <c r="M93" i="8"/>
  <c r="E109" i="8"/>
  <c r="F109" i="8" s="1"/>
  <c r="E128" i="8"/>
  <c r="F128" i="8" s="1"/>
  <c r="R81" i="8"/>
  <c r="S81" i="8" s="1"/>
  <c r="N81" i="8"/>
  <c r="E117" i="8"/>
  <c r="F117" i="8" s="1"/>
  <c r="E114" i="8"/>
  <c r="F114" i="8" s="1"/>
  <c r="E92" i="8"/>
  <c r="F92" i="8" s="1"/>
  <c r="E121" i="8"/>
  <c r="F121" i="8" s="1"/>
  <c r="E112" i="8"/>
  <c r="F112" i="8" s="1"/>
  <c r="E95" i="8"/>
  <c r="F95" i="8" s="1"/>
  <c r="M95" i="8"/>
  <c r="R95" i="8" s="1"/>
  <c r="S95" i="8" s="1"/>
  <c r="I115" i="8"/>
  <c r="M115" i="8"/>
  <c r="E122" i="8"/>
  <c r="F122" i="8" s="1"/>
  <c r="E124" i="8"/>
  <c r="F124" i="8" s="1"/>
  <c r="E94" i="8"/>
  <c r="F94" i="8" s="1"/>
  <c r="E85" i="8"/>
  <c r="F85" i="8" s="1"/>
  <c r="E98" i="8"/>
  <c r="F98" i="8" s="1"/>
  <c r="E123" i="8"/>
  <c r="F123" i="8" s="1"/>
  <c r="E113" i="8"/>
  <c r="F113" i="8" s="1"/>
  <c r="E104" i="8"/>
  <c r="F104" i="8" s="1"/>
  <c r="E87" i="8"/>
  <c r="F87" i="8" s="1"/>
  <c r="I118" i="8"/>
  <c r="M118" i="8"/>
  <c r="M123" i="8"/>
  <c r="I123" i="8"/>
  <c r="I107" i="8"/>
  <c r="M107" i="8"/>
  <c r="E89" i="8"/>
  <c r="F89" i="8" s="1"/>
  <c r="E99" i="8"/>
  <c r="F99" i="8" s="1"/>
  <c r="E116" i="8"/>
  <c r="F116" i="8" s="1"/>
  <c r="E82" i="8"/>
  <c r="F82" i="8" s="1"/>
  <c r="E107" i="8"/>
  <c r="F107" i="8" s="1"/>
  <c r="E105" i="8"/>
  <c r="F105" i="8" s="1"/>
  <c r="E96" i="8"/>
  <c r="F96" i="8" s="1"/>
  <c r="N98" i="8"/>
  <c r="R98" i="8"/>
  <c r="S98" i="8" s="1"/>
  <c r="R104" i="8"/>
  <c r="S104" i="8" s="1"/>
  <c r="N104" i="8"/>
  <c r="R120" i="8"/>
  <c r="S120" i="8" s="1"/>
  <c r="N120" i="8"/>
  <c r="R103" i="8"/>
  <c r="S103" i="8" s="1"/>
  <c r="N103" i="8"/>
  <c r="R121" i="8"/>
  <c r="S121" i="8" s="1"/>
  <c r="N121" i="8"/>
  <c r="R102" i="8"/>
  <c r="S102" i="8" s="1"/>
  <c r="N102" i="8"/>
  <c r="R89" i="8"/>
  <c r="S89" i="8" s="1"/>
  <c r="N89" i="8"/>
  <c r="R85" i="8"/>
  <c r="S85" i="8" s="1"/>
  <c r="N85" i="8"/>
  <c r="R86" i="8"/>
  <c r="S86" i="8" s="1"/>
  <c r="N86" i="8"/>
  <c r="R105" i="8"/>
  <c r="S105" i="8" s="1"/>
  <c r="N105" i="8"/>
  <c r="R119" i="8"/>
  <c r="S119" i="8" s="1"/>
  <c r="N119" i="8"/>
  <c r="R106" i="8"/>
  <c r="S106" i="8" s="1"/>
  <c r="N106" i="8"/>
  <c r="R122" i="8"/>
  <c r="S122" i="8" s="1"/>
  <c r="N122" i="8"/>
  <c r="R90" i="8"/>
  <c r="S90" i="8" s="1"/>
  <c r="N90" i="8"/>
  <c r="R94" i="8"/>
  <c r="S94" i="8" s="1"/>
  <c r="N94" i="8"/>
  <c r="R87" i="8"/>
  <c r="S87" i="8" s="1"/>
  <c r="N87" i="8"/>
  <c r="E136" i="11"/>
  <c r="H127" i="11"/>
  <c r="E127" i="11"/>
  <c r="F127" i="11"/>
  <c r="G127" i="11"/>
  <c r="G136" i="11"/>
  <c r="F136" i="11"/>
  <c r="E141" i="11"/>
  <c r="L141" i="11"/>
  <c r="F141" i="11"/>
  <c r="G141" i="11"/>
  <c r="H141" i="11"/>
  <c r="D141" i="11"/>
  <c r="I141" i="11"/>
  <c r="K141" i="11"/>
  <c r="B141" i="11"/>
  <c r="J141" i="11"/>
  <c r="C141" i="11"/>
  <c r="J140" i="11"/>
  <c r="B140" i="11"/>
  <c r="L140" i="11"/>
  <c r="C140" i="11"/>
  <c r="I140" i="11"/>
  <c r="H140" i="11"/>
  <c r="G140" i="11"/>
  <c r="F140" i="11"/>
  <c r="D140" i="11"/>
  <c r="K140" i="11"/>
  <c r="H139" i="11"/>
  <c r="I139" i="11"/>
  <c r="B139" i="11"/>
  <c r="J139" i="11"/>
  <c r="C139" i="11"/>
  <c r="K139" i="11"/>
  <c r="D139" i="11"/>
  <c r="L139" i="11"/>
  <c r="F139" i="11"/>
  <c r="E139" i="11"/>
  <c r="G139" i="11"/>
  <c r="H138" i="11"/>
  <c r="G138" i="11"/>
  <c r="I138" i="11"/>
  <c r="C138" i="11"/>
  <c r="B138" i="11"/>
  <c r="J138" i="11"/>
  <c r="K138" i="11"/>
  <c r="D138" i="11"/>
  <c r="L138" i="11"/>
  <c r="F138" i="11"/>
  <c r="E138" i="11"/>
  <c r="B137" i="11"/>
  <c r="D137" i="11"/>
  <c r="L137" i="11"/>
  <c r="K137" i="11"/>
  <c r="E137" i="11"/>
  <c r="F137" i="11"/>
  <c r="G137" i="11"/>
  <c r="H137" i="11"/>
  <c r="I137" i="11"/>
  <c r="J137" i="11"/>
  <c r="C137" i="11"/>
  <c r="L136" i="11"/>
  <c r="D136" i="11"/>
  <c r="K136" i="11"/>
  <c r="C136" i="11"/>
  <c r="J136" i="11"/>
  <c r="B136" i="11"/>
  <c r="I136" i="11"/>
  <c r="H135" i="11"/>
  <c r="G135" i="11"/>
  <c r="F135" i="11"/>
  <c r="E135" i="11"/>
  <c r="L135" i="11"/>
  <c r="D135" i="11"/>
  <c r="K135" i="11"/>
  <c r="C135" i="11"/>
  <c r="J135" i="11"/>
  <c r="B135" i="11"/>
  <c r="I134" i="11"/>
  <c r="B134" i="11"/>
  <c r="J134" i="11"/>
  <c r="C134" i="11"/>
  <c r="K134" i="11"/>
  <c r="D134" i="11"/>
  <c r="L134" i="11"/>
  <c r="E134" i="11"/>
  <c r="F134" i="11"/>
  <c r="G134" i="11"/>
  <c r="H134" i="11"/>
  <c r="L127" i="11"/>
  <c r="D127" i="11"/>
  <c r="K127" i="11"/>
  <c r="C127" i="11"/>
  <c r="J127" i="11"/>
  <c r="B127" i="11"/>
  <c r="I127" i="11"/>
  <c r="G126" i="11"/>
  <c r="I126" i="11"/>
  <c r="B126" i="11"/>
  <c r="H126" i="11"/>
  <c r="J126" i="11"/>
  <c r="C126" i="11"/>
  <c r="K126" i="11"/>
  <c r="E126" i="11"/>
  <c r="F126" i="11"/>
  <c r="D126" i="11"/>
  <c r="L126" i="11"/>
  <c r="H125" i="11"/>
  <c r="I125" i="11"/>
  <c r="B125" i="11"/>
  <c r="J125" i="11"/>
  <c r="C125" i="11"/>
  <c r="K125" i="11"/>
  <c r="D125" i="11"/>
  <c r="L125" i="11"/>
  <c r="F125" i="11"/>
  <c r="G125" i="11"/>
  <c r="E125" i="11"/>
  <c r="H124" i="11"/>
  <c r="I124" i="11"/>
  <c r="B124" i="11"/>
  <c r="J124" i="11"/>
  <c r="C124" i="11"/>
  <c r="K124" i="11"/>
  <c r="G124" i="11"/>
  <c r="D124" i="11"/>
  <c r="L124" i="11"/>
  <c r="E124" i="11"/>
  <c r="F124" i="11"/>
  <c r="F123" i="11"/>
  <c r="G123" i="11"/>
  <c r="K123" i="11"/>
  <c r="D123" i="11"/>
  <c r="L123" i="11"/>
  <c r="E123" i="11"/>
  <c r="H123" i="11"/>
  <c r="I123" i="11"/>
  <c r="J123" i="11"/>
  <c r="C123" i="11"/>
  <c r="B123" i="11"/>
  <c r="J82" i="8" l="1"/>
  <c r="K82" i="8" s="1"/>
  <c r="J81" i="8"/>
  <c r="K81" i="8" s="1"/>
  <c r="J130" i="8"/>
  <c r="K130" i="8" s="1"/>
  <c r="D189" i="11"/>
  <c r="D191" i="11"/>
  <c r="D188" i="11"/>
  <c r="D192" i="11"/>
  <c r="D190" i="11"/>
  <c r="R84" i="8"/>
  <c r="S84" i="8" s="1"/>
  <c r="N95" i="8"/>
  <c r="J125" i="8"/>
  <c r="K125" i="8" s="1"/>
  <c r="J94" i="8"/>
  <c r="K94" i="8" s="1"/>
  <c r="J112" i="8"/>
  <c r="K112" i="8" s="1"/>
  <c r="J111" i="8"/>
  <c r="K111" i="8" s="1"/>
  <c r="J92" i="8"/>
  <c r="K92" i="8" s="1"/>
  <c r="J83" i="8"/>
  <c r="K83" i="8" s="1"/>
  <c r="J106" i="8"/>
  <c r="K106" i="8" s="1"/>
  <c r="J120" i="8"/>
  <c r="K120" i="8" s="1"/>
  <c r="J117" i="8"/>
  <c r="K117" i="8" s="1"/>
  <c r="J101" i="8"/>
  <c r="K101" i="8" s="1"/>
  <c r="J113" i="8"/>
  <c r="K113" i="8" s="1"/>
  <c r="J122" i="8"/>
  <c r="K122" i="8" s="1"/>
  <c r="J87" i="8"/>
  <c r="K87" i="8" s="1"/>
  <c r="J97" i="8"/>
  <c r="K97" i="8" s="1"/>
  <c r="J123" i="8"/>
  <c r="K123" i="8" s="1"/>
  <c r="J85" i="8"/>
  <c r="K85" i="8" s="1"/>
  <c r="J88" i="8"/>
  <c r="K88" i="8" s="1"/>
  <c r="R123" i="8"/>
  <c r="S123" i="8" s="1"/>
  <c r="N123" i="8"/>
  <c r="J86" i="8"/>
  <c r="K86" i="8" s="1"/>
  <c r="J108" i="8"/>
  <c r="K108" i="8" s="1"/>
  <c r="J126" i="8"/>
  <c r="K126" i="8" s="1"/>
  <c r="J107" i="8"/>
  <c r="K107" i="8" s="1"/>
  <c r="J95" i="8"/>
  <c r="K95" i="8" s="1"/>
  <c r="J116" i="8"/>
  <c r="K116" i="8" s="1"/>
  <c r="J128" i="8"/>
  <c r="K128" i="8" s="1"/>
  <c r="J98" i="8"/>
  <c r="K98" i="8" s="1"/>
  <c r="R118" i="8"/>
  <c r="S118" i="8" s="1"/>
  <c r="N118" i="8"/>
  <c r="N83" i="8"/>
  <c r="R83" i="8"/>
  <c r="S83" i="8" s="1"/>
  <c r="J90" i="8"/>
  <c r="K90" i="8" s="1"/>
  <c r="J104" i="8"/>
  <c r="K104" i="8" s="1"/>
  <c r="J127" i="8"/>
  <c r="K127" i="8" s="1"/>
  <c r="J91" i="8"/>
  <c r="K91" i="8" s="1"/>
  <c r="J124" i="8"/>
  <c r="K124" i="8" s="1"/>
  <c r="J105" i="8"/>
  <c r="K105" i="8" s="1"/>
  <c r="J84" i="8"/>
  <c r="K84" i="8" s="1"/>
  <c r="J115" i="8"/>
  <c r="K115" i="8" s="1"/>
  <c r="J118" i="8"/>
  <c r="K118" i="8" s="1"/>
  <c r="N93" i="8"/>
  <c r="R93" i="8"/>
  <c r="S93" i="8" s="1"/>
  <c r="N126" i="8"/>
  <c r="R126" i="8"/>
  <c r="S126" i="8" s="1"/>
  <c r="R110" i="8"/>
  <c r="S110" i="8" s="1"/>
  <c r="N110" i="8"/>
  <c r="R107" i="8"/>
  <c r="S107" i="8" s="1"/>
  <c r="N107" i="8"/>
  <c r="J100" i="8"/>
  <c r="K100" i="8" s="1"/>
  <c r="J103" i="8"/>
  <c r="K103" i="8" s="1"/>
  <c r="J99" i="8"/>
  <c r="K99" i="8" s="1"/>
  <c r="J114" i="8"/>
  <c r="K114" i="8" s="1"/>
  <c r="J89" i="8"/>
  <c r="K89" i="8" s="1"/>
  <c r="J129" i="8"/>
  <c r="K129" i="8" s="1"/>
  <c r="J93" i="8"/>
  <c r="K93" i="8" s="1"/>
  <c r="J109" i="8"/>
  <c r="K109" i="8" s="1"/>
  <c r="J96" i="8"/>
  <c r="K96" i="8" s="1"/>
  <c r="J121" i="8"/>
  <c r="K121" i="8" s="1"/>
  <c r="J110" i="8"/>
  <c r="K110" i="8" s="1"/>
  <c r="J119" i="8"/>
  <c r="K119" i="8" s="1"/>
  <c r="J102" i="8"/>
  <c r="K102" i="8" s="1"/>
  <c r="N115" i="8"/>
  <c r="R115" i="8"/>
  <c r="S115" i="8" s="1"/>
  <c r="R88" i="8"/>
  <c r="S88" i="8" s="1"/>
  <c r="N88" i="8"/>
  <c r="L142" i="11"/>
  <c r="H142" i="11"/>
  <c r="J142" i="11"/>
  <c r="F142" i="11"/>
  <c r="D142" i="11"/>
  <c r="B142" i="11"/>
  <c r="I142" i="11"/>
  <c r="K142" i="11"/>
  <c r="E142" i="11"/>
  <c r="C142" i="11"/>
  <c r="G142" i="11"/>
  <c r="G329" i="11" l="1"/>
  <c r="L329" i="11"/>
  <c r="D329" i="11"/>
  <c r="C329" i="11"/>
  <c r="H329" i="11"/>
  <c r="K329" i="11"/>
  <c r="G331" i="11"/>
  <c r="K331" i="11"/>
  <c r="L331" i="11"/>
  <c r="H331" i="11"/>
  <c r="C331" i="11"/>
  <c r="D331" i="11"/>
  <c r="C327" i="11"/>
  <c r="G327" i="11"/>
  <c r="D327" i="11"/>
  <c r="H327" i="11"/>
  <c r="K327" i="11"/>
  <c r="L327" i="11"/>
  <c r="G330" i="11"/>
  <c r="K330" i="11"/>
  <c r="C330" i="11"/>
  <c r="H330" i="11"/>
  <c r="D330" i="11"/>
  <c r="L330" i="11"/>
  <c r="G328" i="11"/>
  <c r="L328" i="11"/>
  <c r="D328" i="11"/>
  <c r="C328" i="11"/>
  <c r="K328" i="11"/>
  <c r="H328" i="11"/>
  <c r="K308" i="11"/>
  <c r="G308" i="11"/>
  <c r="H308" i="11"/>
  <c r="L308" i="11"/>
  <c r="C308" i="11"/>
  <c r="D308" i="11"/>
  <c r="K307" i="11"/>
  <c r="G307" i="11"/>
  <c r="C307" i="11"/>
  <c r="L307" i="11"/>
  <c r="D307" i="11"/>
  <c r="H307" i="11"/>
  <c r="D310" i="11"/>
  <c r="G310" i="11"/>
  <c r="K310" i="11"/>
  <c r="C310" i="11"/>
  <c r="L310" i="11"/>
  <c r="H310" i="11"/>
  <c r="G309" i="11"/>
  <c r="K309" i="11"/>
  <c r="H309" i="11"/>
  <c r="C309" i="11"/>
  <c r="L309" i="11"/>
  <c r="D309" i="11"/>
  <c r="K306" i="11"/>
  <c r="C306" i="11"/>
  <c r="G306" i="11"/>
  <c r="H306" i="11"/>
  <c r="D306" i="11"/>
  <c r="L306" i="11"/>
  <c r="E255" i="11"/>
  <c r="E257" i="11"/>
  <c r="E256" i="11"/>
  <c r="E254" i="11"/>
  <c r="D253" i="11"/>
  <c r="E253" i="11"/>
  <c r="C253" i="11"/>
  <c r="C254" i="11"/>
  <c r="D254" i="11"/>
  <c r="C256" i="11"/>
  <c r="D256" i="11"/>
  <c r="C257" i="11"/>
  <c r="C255" i="11"/>
  <c r="D255" i="11"/>
  <c r="L143" i="11"/>
  <c r="C261" i="11" s="1"/>
  <c r="D257" i="11"/>
  <c r="K143" i="11"/>
  <c r="C260" i="11" s="1"/>
  <c r="I143" i="11"/>
  <c r="C258" i="11" s="1"/>
  <c r="J143" i="11"/>
  <c r="C259" i="11" s="1"/>
  <c r="O114" i="8"/>
  <c r="P114" i="8" s="1"/>
  <c r="O130" i="8"/>
  <c r="P130" i="8" s="1"/>
  <c r="O127" i="8"/>
  <c r="P127" i="8" s="1"/>
  <c r="O82" i="8"/>
  <c r="P82" i="8" s="1"/>
  <c r="O107" i="8"/>
  <c r="P107" i="8" s="1"/>
  <c r="O113" i="8"/>
  <c r="P113" i="8" s="1"/>
  <c r="O84" i="8"/>
  <c r="P84" i="8" s="1"/>
  <c r="T121" i="8"/>
  <c r="U121" i="8" s="1"/>
  <c r="O119" i="8"/>
  <c r="P119" i="8" s="1"/>
  <c r="O118" i="8"/>
  <c r="P118" i="8" s="1"/>
  <c r="T126" i="8"/>
  <c r="U126" i="8" s="1"/>
  <c r="O91" i="8"/>
  <c r="P91" i="8" s="1"/>
  <c r="O123" i="8"/>
  <c r="P123" i="8" s="1"/>
  <c r="O99" i="8"/>
  <c r="P99" i="8" s="1"/>
  <c r="T94" i="8"/>
  <c r="U94" i="8" s="1"/>
  <c r="T99" i="8"/>
  <c r="U99" i="8" s="1"/>
  <c r="O126" i="8"/>
  <c r="P126" i="8" s="1"/>
  <c r="O108" i="8"/>
  <c r="P108" i="8" s="1"/>
  <c r="O124" i="8"/>
  <c r="P124" i="8" s="1"/>
  <c r="T125" i="8"/>
  <c r="U125" i="8" s="1"/>
  <c r="T93" i="8"/>
  <c r="U93" i="8" s="1"/>
  <c r="T105" i="8"/>
  <c r="U105" i="8" s="1"/>
  <c r="O95" i="8"/>
  <c r="P95" i="8" s="1"/>
  <c r="T115" i="8"/>
  <c r="U115" i="8" s="1"/>
  <c r="O117" i="8"/>
  <c r="P117" i="8" s="1"/>
  <c r="O87" i="8"/>
  <c r="P87" i="8" s="1"/>
  <c r="T106" i="8"/>
  <c r="U106" i="8" s="1"/>
  <c r="O109" i="8"/>
  <c r="P109" i="8" s="1"/>
  <c r="O110" i="8"/>
  <c r="P110" i="8" s="1"/>
  <c r="T111" i="8"/>
  <c r="U111" i="8" s="1"/>
  <c r="T123" i="8"/>
  <c r="U123" i="8" s="1"/>
  <c r="O92" i="8"/>
  <c r="P92" i="8" s="1"/>
  <c r="O128" i="8"/>
  <c r="P128" i="8" s="1"/>
  <c r="O100" i="8"/>
  <c r="P100" i="8" s="1"/>
  <c r="T107" i="8"/>
  <c r="U107" i="8" s="1"/>
  <c r="T114" i="8"/>
  <c r="U114" i="8" s="1"/>
  <c r="O83" i="8"/>
  <c r="P83" i="8" s="1"/>
  <c r="O111" i="8"/>
  <c r="P111" i="8" s="1"/>
  <c r="O105" i="8"/>
  <c r="P105" i="8" s="1"/>
  <c r="T87" i="8"/>
  <c r="U87" i="8" s="1"/>
  <c r="O116" i="8"/>
  <c r="P116" i="8" s="1"/>
  <c r="T97" i="8"/>
  <c r="U97" i="8" s="1"/>
  <c r="T119" i="8"/>
  <c r="U119" i="8" s="1"/>
  <c r="T86" i="8"/>
  <c r="U86" i="8" s="1"/>
  <c r="T101" i="8"/>
  <c r="U101" i="8" s="1"/>
  <c r="T81" i="8"/>
  <c r="U81" i="8" s="1"/>
  <c r="O89" i="8"/>
  <c r="P89" i="8" s="1"/>
  <c r="O125" i="8"/>
  <c r="P125" i="8" s="1"/>
  <c r="O101" i="8"/>
  <c r="P101" i="8" s="1"/>
  <c r="O90" i="8"/>
  <c r="P90" i="8" s="1"/>
  <c r="O112" i="8"/>
  <c r="P112" i="8" s="1"/>
  <c r="O104" i="8"/>
  <c r="P104" i="8" s="1"/>
  <c r="T102" i="8"/>
  <c r="U102" i="8" s="1"/>
  <c r="T117" i="8"/>
  <c r="U117" i="8" s="1"/>
  <c r="T109" i="8"/>
  <c r="U109" i="8" s="1"/>
  <c r="T84" i="8"/>
  <c r="U84" i="8" s="1"/>
  <c r="T122" i="8"/>
  <c r="U122" i="8" s="1"/>
  <c r="T88" i="8"/>
  <c r="U88" i="8" s="1"/>
  <c r="O97" i="8"/>
  <c r="P97" i="8" s="1"/>
  <c r="O120" i="8"/>
  <c r="P120" i="8" s="1"/>
  <c r="O86" i="8"/>
  <c r="P86" i="8" s="1"/>
  <c r="O115" i="8"/>
  <c r="P115" i="8" s="1"/>
  <c r="O121" i="8"/>
  <c r="P121" i="8" s="1"/>
  <c r="O96" i="8"/>
  <c r="P96" i="8" s="1"/>
  <c r="T116" i="8"/>
  <c r="U116" i="8" s="1"/>
  <c r="T90" i="8"/>
  <c r="U90" i="8" s="1"/>
  <c r="T100" i="8"/>
  <c r="U100" i="8" s="1"/>
  <c r="T92" i="8"/>
  <c r="U92" i="8" s="1"/>
  <c r="T130" i="8"/>
  <c r="U130" i="8" s="1"/>
  <c r="T113" i="8"/>
  <c r="U113" i="8" s="1"/>
  <c r="T83" i="8"/>
  <c r="U83" i="8" s="1"/>
  <c r="T128" i="8"/>
  <c r="U128" i="8" s="1"/>
  <c r="T96" i="8"/>
  <c r="U96" i="8" s="1"/>
  <c r="T89" i="8"/>
  <c r="U89" i="8" s="1"/>
  <c r="T98" i="8"/>
  <c r="U98" i="8" s="1"/>
  <c r="T91" i="8"/>
  <c r="U91" i="8" s="1"/>
  <c r="O88" i="8"/>
  <c r="P88" i="8" s="1"/>
  <c r="O129" i="8"/>
  <c r="P129" i="8" s="1"/>
  <c r="O106" i="8"/>
  <c r="P106" i="8" s="1"/>
  <c r="O102" i="8"/>
  <c r="P102" i="8" s="1"/>
  <c r="O103" i="8"/>
  <c r="P103" i="8" s="1"/>
  <c r="O81" i="8"/>
  <c r="P81" i="8" s="1"/>
  <c r="T95" i="8"/>
  <c r="U95" i="8" s="1"/>
  <c r="T82" i="8"/>
  <c r="U82" i="8" s="1"/>
  <c r="T129" i="8"/>
  <c r="U129" i="8" s="1"/>
  <c r="T104" i="8"/>
  <c r="U104" i="8" s="1"/>
  <c r="T118" i="8"/>
  <c r="U118" i="8" s="1"/>
  <c r="O98" i="8"/>
  <c r="P98" i="8" s="1"/>
  <c r="O122" i="8"/>
  <c r="P122" i="8" s="1"/>
  <c r="O93" i="8"/>
  <c r="P93" i="8" s="1"/>
  <c r="O85" i="8"/>
  <c r="P85" i="8" s="1"/>
  <c r="O94" i="8"/>
  <c r="P94" i="8" s="1"/>
  <c r="T103" i="8"/>
  <c r="U103" i="8" s="1"/>
  <c r="T110" i="8"/>
  <c r="U110" i="8" s="1"/>
  <c r="T120" i="8"/>
  <c r="U120" i="8" s="1"/>
  <c r="T112" i="8"/>
  <c r="U112" i="8" s="1"/>
  <c r="T124" i="8"/>
  <c r="U124" i="8" s="1"/>
  <c r="T85" i="8"/>
  <c r="U85" i="8" s="1"/>
  <c r="T127" i="8"/>
  <c r="U127" i="8" s="1"/>
  <c r="T108" i="8"/>
  <c r="U108" i="8" s="1"/>
  <c r="B143" i="11"/>
  <c r="C251" i="11" s="1"/>
  <c r="C143" i="11"/>
  <c r="C252" i="11" s="1"/>
  <c r="M142" i="11"/>
  <c r="H114" i="11" l="1"/>
  <c r="I113" i="11"/>
  <c r="K111" i="11"/>
  <c r="E110" i="11"/>
  <c r="J108" i="11"/>
  <c r="D107" i="11"/>
  <c r="F106" i="11"/>
  <c r="D105" i="11"/>
  <c r="L104" i="11"/>
  <c r="E103" i="11"/>
  <c r="J103" i="11"/>
  <c r="L102" i="11"/>
  <c r="L101" i="11"/>
  <c r="I100" i="11"/>
  <c r="E99" i="11"/>
  <c r="F98" i="11"/>
  <c r="O67" i="9"/>
  <c r="O68" i="9"/>
  <c r="O69" i="9"/>
  <c r="O70" i="9"/>
  <c r="O71" i="9"/>
  <c r="O72" i="9"/>
  <c r="O73" i="9"/>
  <c r="O74" i="9"/>
  <c r="O75" i="9"/>
  <c r="O76" i="9"/>
  <c r="O77" i="9"/>
  <c r="O78" i="9"/>
  <c r="O79" i="9"/>
  <c r="O80" i="9"/>
  <c r="O81" i="9"/>
  <c r="O82" i="9"/>
  <c r="O83" i="9"/>
  <c r="O84" i="9"/>
  <c r="O85" i="9"/>
  <c r="O86" i="9"/>
  <c r="O87" i="9"/>
  <c r="O88" i="9"/>
  <c r="O89" i="9"/>
  <c r="O90" i="9"/>
  <c r="O91" i="9"/>
  <c r="O92" i="9"/>
  <c r="O93" i="9"/>
  <c r="O94" i="9"/>
  <c r="O95" i="9"/>
  <c r="O96" i="9"/>
  <c r="O97" i="9"/>
  <c r="O66" i="9"/>
  <c r="C47" i="9"/>
  <c r="C48" i="9"/>
  <c r="D48" i="9"/>
  <c r="C46" i="9"/>
  <c r="B11" i="9"/>
  <c r="H100" i="11" l="1"/>
  <c r="C102" i="11"/>
  <c r="D102" i="11"/>
  <c r="G106" i="11"/>
  <c r="L99" i="11"/>
  <c r="I106" i="11"/>
  <c r="D103" i="11"/>
  <c r="F100" i="11"/>
  <c r="G103" i="11"/>
  <c r="G107" i="11"/>
  <c r="L97" i="11"/>
  <c r="F97" i="11"/>
  <c r="E106" i="11"/>
  <c r="D98" i="11"/>
  <c r="I98" i="11"/>
  <c r="K100" i="11"/>
  <c r="B98" i="11"/>
  <c r="K98" i="11"/>
  <c r="C107" i="11"/>
  <c r="J99" i="11"/>
  <c r="L105" i="11"/>
  <c r="L107" i="11"/>
  <c r="K106" i="11"/>
  <c r="F99" i="11"/>
  <c r="B99" i="11"/>
  <c r="D106" i="11"/>
  <c r="K107" i="11"/>
  <c r="G113" i="11"/>
  <c r="I114" i="11"/>
  <c r="L112" i="11"/>
  <c r="K112" i="11"/>
  <c r="J112" i="11"/>
  <c r="F112" i="11"/>
  <c r="E112" i="11"/>
  <c r="C112" i="11"/>
  <c r="B112" i="11"/>
  <c r="C109" i="11"/>
  <c r="L109" i="11"/>
  <c r="I115" i="11"/>
  <c r="L115" i="11"/>
  <c r="L98" i="11"/>
  <c r="K99" i="11"/>
  <c r="J100" i="11"/>
  <c r="I103" i="11"/>
  <c r="J105" i="11"/>
  <c r="H106" i="11"/>
  <c r="H107" i="11"/>
  <c r="C113" i="11"/>
  <c r="L114" i="11"/>
  <c r="E98" i="11"/>
  <c r="H113" i="11"/>
  <c r="G98" i="11"/>
  <c r="B100" i="11"/>
  <c r="G102" i="11"/>
  <c r="D104" i="11"/>
  <c r="C106" i="11"/>
  <c r="L106" i="11"/>
  <c r="B111" i="11"/>
  <c r="H98" i="11"/>
  <c r="C99" i="11"/>
  <c r="C100" i="11"/>
  <c r="C101" i="11"/>
  <c r="G104" i="11"/>
  <c r="C111" i="11"/>
  <c r="B114" i="11"/>
  <c r="D101" i="11"/>
  <c r="K104" i="11"/>
  <c r="J98" i="11"/>
  <c r="G100" i="11"/>
  <c r="F101" i="11"/>
  <c r="K101" i="11"/>
  <c r="I102" i="11"/>
  <c r="F103" i="11"/>
  <c r="L103" i="11"/>
  <c r="C103" i="11"/>
  <c r="K103" i="11"/>
  <c r="B103" i="11"/>
  <c r="H103" i="11"/>
  <c r="C105" i="11"/>
  <c r="F107" i="11"/>
  <c r="J107" i="11"/>
  <c r="I107" i="11"/>
  <c r="E107" i="11"/>
  <c r="G111" i="11"/>
  <c r="E115" i="11"/>
  <c r="I110" i="11"/>
  <c r="L110" i="11"/>
  <c r="C110" i="11"/>
  <c r="B110" i="11"/>
  <c r="K110" i="11"/>
  <c r="G110" i="11"/>
  <c r="K108" i="11"/>
  <c r="C108" i="11"/>
  <c r="L108" i="11"/>
  <c r="B108" i="11"/>
  <c r="H108" i="11"/>
  <c r="G108" i="11"/>
  <c r="D108" i="11"/>
  <c r="F109" i="11"/>
  <c r="H109" i="11"/>
  <c r="E109" i="11"/>
  <c r="D109" i="11"/>
  <c r="K109" i="11"/>
  <c r="B97" i="11"/>
  <c r="H101" i="11"/>
  <c r="H102" i="11"/>
  <c r="J104" i="11"/>
  <c r="B104" i="11"/>
  <c r="I104" i="11"/>
  <c r="H104" i="11"/>
  <c r="E104" i="11"/>
  <c r="B109" i="11"/>
  <c r="D110" i="11"/>
  <c r="F111" i="11"/>
  <c r="G114" i="11"/>
  <c r="E114" i="11"/>
  <c r="J114" i="11"/>
  <c r="D114" i="11"/>
  <c r="C114" i="11"/>
  <c r="K114" i="11"/>
  <c r="E97" i="11"/>
  <c r="I99" i="11"/>
  <c r="I167" i="11" s="1"/>
  <c r="H99" i="11"/>
  <c r="G99" i="11"/>
  <c r="D99" i="11"/>
  <c r="C104" i="11"/>
  <c r="B107" i="11"/>
  <c r="E108" i="11"/>
  <c r="G109" i="11"/>
  <c r="F110" i="11"/>
  <c r="L113" i="11"/>
  <c r="D113" i="11"/>
  <c r="J113" i="11"/>
  <c r="B113" i="11"/>
  <c r="F113" i="11"/>
  <c r="E113" i="11"/>
  <c r="K113" i="11"/>
  <c r="F105" i="11"/>
  <c r="G105" i="11"/>
  <c r="E105" i="11"/>
  <c r="K105" i="11"/>
  <c r="B105" i="11"/>
  <c r="G101" i="11"/>
  <c r="J101" i="11"/>
  <c r="I101" i="11"/>
  <c r="E101" i="11"/>
  <c r="I109" i="11"/>
  <c r="K97" i="11"/>
  <c r="H97" i="11"/>
  <c r="G97" i="11"/>
  <c r="D97" i="11"/>
  <c r="I97" i="11"/>
  <c r="J102" i="11"/>
  <c r="B102" i="11"/>
  <c r="F102" i="11"/>
  <c r="E102" i="11"/>
  <c r="K102" i="11"/>
  <c r="H105" i="11"/>
  <c r="F108" i="11"/>
  <c r="H110" i="11"/>
  <c r="L111" i="11"/>
  <c r="D111" i="11"/>
  <c r="H111" i="11"/>
  <c r="J111" i="11"/>
  <c r="I111" i="11"/>
  <c r="E111" i="11"/>
  <c r="J97" i="11"/>
  <c r="B101" i="11"/>
  <c r="F104" i="11"/>
  <c r="I105" i="11"/>
  <c r="I108" i="11"/>
  <c r="J109" i="11"/>
  <c r="J110" i="11"/>
  <c r="F114" i="11"/>
  <c r="J115" i="11"/>
  <c r="B115" i="11"/>
  <c r="H115" i="11"/>
  <c r="G115" i="11"/>
  <c r="F115" i="11"/>
  <c r="D115" i="11"/>
  <c r="C115" i="11"/>
  <c r="K115" i="11"/>
  <c r="I112" i="11"/>
  <c r="G112" i="11"/>
  <c r="D112" i="11"/>
  <c r="L100" i="11"/>
  <c r="D100" i="11"/>
  <c r="E100" i="11"/>
  <c r="J106" i="11"/>
  <c r="B106" i="11"/>
  <c r="H112" i="11"/>
  <c r="H17" i="6"/>
  <c r="H18" i="6"/>
  <c r="H19" i="6"/>
  <c r="H20" i="6"/>
  <c r="H21" i="6"/>
  <c r="H22" i="6"/>
  <c r="H23" i="6"/>
  <c r="H24" i="6"/>
  <c r="H25" i="6"/>
  <c r="H26" i="6"/>
  <c r="H27" i="6"/>
  <c r="H28" i="6"/>
  <c r="H29" i="6"/>
  <c r="H30" i="6"/>
  <c r="H31" i="6"/>
  <c r="H32" i="6"/>
  <c r="H33" i="6"/>
  <c r="H34" i="6"/>
  <c r="H35" i="6"/>
  <c r="H36" i="6"/>
  <c r="H37" i="6"/>
  <c r="H38" i="6"/>
  <c r="H39" i="6"/>
  <c r="H40" i="6"/>
  <c r="H41" i="6"/>
  <c r="H42" i="6"/>
  <c r="H43" i="6"/>
  <c r="H44" i="6"/>
  <c r="H45" i="6"/>
  <c r="H46" i="6"/>
  <c r="H47" i="6"/>
  <c r="H48" i="6"/>
  <c r="H49" i="6"/>
  <c r="H50" i="6"/>
  <c r="H51" i="6"/>
  <c r="H52" i="6"/>
  <c r="H53" i="6"/>
  <c r="H54" i="6"/>
  <c r="E13" i="3" s="1"/>
  <c r="H55" i="6"/>
  <c r="H56" i="6"/>
  <c r="H57" i="6"/>
  <c r="H58" i="6"/>
  <c r="H59" i="6"/>
  <c r="H60" i="6"/>
  <c r="H61" i="6"/>
  <c r="H62" i="6"/>
  <c r="H63" i="6"/>
  <c r="H64" i="6"/>
  <c r="H65" i="6"/>
  <c r="H66" i="6"/>
  <c r="H67" i="6"/>
  <c r="H16" i="6"/>
  <c r="D17" i="6"/>
  <c r="H167" i="11" l="1"/>
  <c r="E167" i="11"/>
  <c r="G167" i="11"/>
  <c r="D167" i="11"/>
  <c r="L167" i="11"/>
  <c r="K167" i="11"/>
  <c r="C167" i="11"/>
  <c r="C168" i="11" s="1"/>
  <c r="J167" i="11"/>
  <c r="B167" i="11"/>
  <c r="F167" i="11"/>
  <c r="C12" i="3"/>
  <c r="C13" i="3"/>
  <c r="E12" i="3"/>
  <c r="L116" i="11"/>
  <c r="F116" i="11"/>
  <c r="J116" i="11"/>
  <c r="B116" i="11"/>
  <c r="I116" i="11"/>
  <c r="G116" i="11"/>
  <c r="H116" i="11"/>
  <c r="D116" i="11"/>
  <c r="C116" i="11"/>
  <c r="E116" i="11"/>
  <c r="K116" i="11"/>
  <c r="E65" i="9"/>
  <c r="E66" i="9"/>
  <c r="F66" i="9" s="1"/>
  <c r="G66" i="9" s="1"/>
  <c r="E67" i="9"/>
  <c r="F67" i="9" s="1"/>
  <c r="G67" i="9" s="1"/>
  <c r="E68" i="9"/>
  <c r="F68" i="9" s="1"/>
  <c r="G68" i="9" s="1"/>
  <c r="E69" i="9"/>
  <c r="F69" i="9" s="1"/>
  <c r="G69" i="9" s="1"/>
  <c r="E70" i="9"/>
  <c r="E71" i="9"/>
  <c r="F71" i="9" s="1"/>
  <c r="G71" i="9" s="1"/>
  <c r="E72" i="9"/>
  <c r="F72" i="9" s="1"/>
  <c r="G72" i="9" s="1"/>
  <c r="E73" i="9"/>
  <c r="F73" i="9" s="1"/>
  <c r="G73" i="9" s="1"/>
  <c r="E74" i="9"/>
  <c r="F74" i="9" s="1"/>
  <c r="G74" i="9" s="1"/>
  <c r="E75" i="9"/>
  <c r="F75" i="9" s="1"/>
  <c r="G75" i="9" s="1"/>
  <c r="E76" i="9"/>
  <c r="F76" i="9" s="1"/>
  <c r="G76" i="9" s="1"/>
  <c r="P66" i="9" s="1"/>
  <c r="E77" i="9"/>
  <c r="F77" i="9" s="1"/>
  <c r="G77" i="9" s="1"/>
  <c r="E78" i="9"/>
  <c r="F78" i="9" s="1"/>
  <c r="G78" i="9" s="1"/>
  <c r="E79" i="9"/>
  <c r="F79" i="9" s="1"/>
  <c r="G79" i="9" s="1"/>
  <c r="E80" i="9"/>
  <c r="F80" i="9" s="1"/>
  <c r="G80" i="9" s="1"/>
  <c r="E81" i="9"/>
  <c r="F81" i="9" s="1"/>
  <c r="G81" i="9" s="1"/>
  <c r="E82" i="9"/>
  <c r="F82" i="9" s="1"/>
  <c r="G82" i="9" s="1"/>
  <c r="E83" i="9"/>
  <c r="F83" i="9" s="1"/>
  <c r="G83" i="9" s="1"/>
  <c r="E84" i="9"/>
  <c r="F84" i="9" s="1"/>
  <c r="G84" i="9" s="1"/>
  <c r="E85" i="9"/>
  <c r="F85" i="9" s="1"/>
  <c r="G85" i="9" s="1"/>
  <c r="E86" i="9"/>
  <c r="F86" i="9" s="1"/>
  <c r="G86" i="9" s="1"/>
  <c r="E87" i="9"/>
  <c r="F87" i="9" s="1"/>
  <c r="G87" i="9" s="1"/>
  <c r="E88" i="9"/>
  <c r="F88" i="9" s="1"/>
  <c r="G88" i="9" s="1"/>
  <c r="E89" i="9"/>
  <c r="F89" i="9" s="1"/>
  <c r="G89" i="9" s="1"/>
  <c r="E90" i="9"/>
  <c r="F90" i="9" s="1"/>
  <c r="G90" i="9" s="1"/>
  <c r="E91" i="9"/>
  <c r="F91" i="9" s="1"/>
  <c r="G91" i="9" s="1"/>
  <c r="E92" i="9"/>
  <c r="F92" i="9" s="1"/>
  <c r="G92" i="9" s="1"/>
  <c r="E93" i="9"/>
  <c r="F93" i="9" s="1"/>
  <c r="G93" i="9" s="1"/>
  <c r="E94" i="9"/>
  <c r="F94" i="9" s="1"/>
  <c r="G94" i="9" s="1"/>
  <c r="E95" i="9"/>
  <c r="F95" i="9" s="1"/>
  <c r="G95" i="9" s="1"/>
  <c r="E96" i="9"/>
  <c r="F96" i="9" s="1"/>
  <c r="G96" i="9" s="1"/>
  <c r="E97" i="9"/>
  <c r="F97" i="9" s="1"/>
  <c r="G97" i="9" s="1"/>
  <c r="E98" i="9"/>
  <c r="F98" i="9" s="1"/>
  <c r="G98" i="9" s="1"/>
  <c r="E99" i="9"/>
  <c r="F99" i="9" s="1"/>
  <c r="G99" i="9" s="1"/>
  <c r="E100" i="9"/>
  <c r="F100" i="9" s="1"/>
  <c r="G100" i="9" s="1"/>
  <c r="E101" i="9"/>
  <c r="F101" i="9" s="1"/>
  <c r="G101" i="9" s="1"/>
  <c r="E102" i="9"/>
  <c r="F102" i="9" s="1"/>
  <c r="G102" i="9" s="1"/>
  <c r="E103" i="9"/>
  <c r="F103" i="9" s="1"/>
  <c r="G103" i="9" s="1"/>
  <c r="E104" i="9"/>
  <c r="F104" i="9" s="1"/>
  <c r="G104" i="9" s="1"/>
  <c r="E105" i="9"/>
  <c r="F105" i="9" s="1"/>
  <c r="G105" i="9" s="1"/>
  <c r="E106" i="9"/>
  <c r="F106" i="9" s="1"/>
  <c r="G106" i="9" s="1"/>
  <c r="E107" i="9"/>
  <c r="F107" i="9" s="1"/>
  <c r="G107" i="9" s="1"/>
  <c r="E108" i="9"/>
  <c r="F108" i="9" s="1"/>
  <c r="G108" i="9" s="1"/>
  <c r="E109" i="9"/>
  <c r="F109" i="9" s="1"/>
  <c r="G109" i="9" s="1"/>
  <c r="E110" i="9"/>
  <c r="F110" i="9" s="1"/>
  <c r="G110" i="9" s="1"/>
  <c r="E111" i="9"/>
  <c r="F111" i="9" s="1"/>
  <c r="G111" i="9" s="1"/>
  <c r="E112" i="9"/>
  <c r="F112" i="9" s="1"/>
  <c r="G112" i="9" s="1"/>
  <c r="E113" i="9"/>
  <c r="F113" i="9" s="1"/>
  <c r="G113" i="9" s="1"/>
  <c r="E114" i="9"/>
  <c r="F114" i="9" s="1"/>
  <c r="G114" i="9" s="1"/>
  <c r="E115" i="9"/>
  <c r="F115" i="9" s="1"/>
  <c r="G115" i="9" s="1"/>
  <c r="E116" i="9"/>
  <c r="F116" i="9" s="1"/>
  <c r="G116" i="9" s="1"/>
  <c r="E117" i="9"/>
  <c r="F117" i="9" s="1"/>
  <c r="G117" i="9" s="1"/>
  <c r="E118" i="9"/>
  <c r="F118" i="9" s="1"/>
  <c r="G118" i="9" s="1"/>
  <c r="E119" i="9"/>
  <c r="F119" i="9" s="1"/>
  <c r="G119" i="9" s="1"/>
  <c r="E120" i="9"/>
  <c r="F120" i="9" s="1"/>
  <c r="G120" i="9" s="1"/>
  <c r="P76" i="9" s="1"/>
  <c r="E121" i="9"/>
  <c r="F121" i="9" s="1"/>
  <c r="G121" i="9" s="1"/>
  <c r="E122" i="9"/>
  <c r="F122" i="9" s="1"/>
  <c r="G122" i="9" s="1"/>
  <c r="E123" i="9"/>
  <c r="F123" i="9" s="1"/>
  <c r="G123" i="9" s="1"/>
  <c r="E124" i="9"/>
  <c r="F124" i="9" s="1"/>
  <c r="G124" i="9" s="1"/>
  <c r="E125" i="9"/>
  <c r="F125" i="9" s="1"/>
  <c r="G125" i="9" s="1"/>
  <c r="E126" i="9"/>
  <c r="F126" i="9" s="1"/>
  <c r="G126" i="9" s="1"/>
  <c r="E127" i="9"/>
  <c r="F127" i="9" s="1"/>
  <c r="G127" i="9" s="1"/>
  <c r="E128" i="9"/>
  <c r="F128" i="9" s="1"/>
  <c r="G128" i="9" s="1"/>
  <c r="E129" i="9"/>
  <c r="F129" i="9" s="1"/>
  <c r="G129" i="9" s="1"/>
  <c r="E130" i="9"/>
  <c r="F130" i="9" s="1"/>
  <c r="G130" i="9" s="1"/>
  <c r="E131" i="9"/>
  <c r="F131" i="9" s="1"/>
  <c r="G131" i="9" s="1"/>
  <c r="E132" i="9"/>
  <c r="F132" i="9" s="1"/>
  <c r="G132" i="9" s="1"/>
  <c r="E133" i="9"/>
  <c r="F133" i="9" s="1"/>
  <c r="G133" i="9" s="1"/>
  <c r="E134" i="9"/>
  <c r="F134" i="9" s="1"/>
  <c r="G134" i="9" s="1"/>
  <c r="E135" i="9"/>
  <c r="F135" i="9" s="1"/>
  <c r="G135" i="9" s="1"/>
  <c r="E136" i="9"/>
  <c r="F136" i="9" s="1"/>
  <c r="G136" i="9" s="1"/>
  <c r="E137" i="9"/>
  <c r="F137" i="9" s="1"/>
  <c r="G137" i="9" s="1"/>
  <c r="E138" i="9"/>
  <c r="F138" i="9" s="1"/>
  <c r="G138" i="9" s="1"/>
  <c r="E139" i="9"/>
  <c r="F139" i="9" s="1"/>
  <c r="G139" i="9" s="1"/>
  <c r="E140" i="9"/>
  <c r="F140" i="9" s="1"/>
  <c r="G140" i="9" s="1"/>
  <c r="E141" i="9"/>
  <c r="F141" i="9" s="1"/>
  <c r="G141" i="9" s="1"/>
  <c r="P70" i="9" s="1"/>
  <c r="E142" i="9"/>
  <c r="F142" i="9" s="1"/>
  <c r="G142" i="9" s="1"/>
  <c r="E143" i="9"/>
  <c r="F143" i="9" s="1"/>
  <c r="G143" i="9" s="1"/>
  <c r="E144" i="9"/>
  <c r="F144" i="9" s="1"/>
  <c r="G144" i="9" s="1"/>
  <c r="E145" i="9"/>
  <c r="F145" i="9" s="1"/>
  <c r="G145" i="9" s="1"/>
  <c r="E146" i="9"/>
  <c r="F146" i="9" s="1"/>
  <c r="G146" i="9" s="1"/>
  <c r="E147" i="9"/>
  <c r="F147" i="9" s="1"/>
  <c r="G147" i="9" s="1"/>
  <c r="E148" i="9"/>
  <c r="F148" i="9" s="1"/>
  <c r="G148" i="9" s="1"/>
  <c r="E149" i="9"/>
  <c r="F149" i="9" s="1"/>
  <c r="G149" i="9" s="1"/>
  <c r="E150" i="9"/>
  <c r="F150" i="9" s="1"/>
  <c r="G150" i="9" s="1"/>
  <c r="E151" i="9"/>
  <c r="F151" i="9" s="1"/>
  <c r="G151" i="9" s="1"/>
  <c r="E152" i="9"/>
  <c r="F152" i="9" s="1"/>
  <c r="G152" i="9" s="1"/>
  <c r="E153" i="9"/>
  <c r="F153" i="9" s="1"/>
  <c r="G153" i="9" s="1"/>
  <c r="E154" i="9"/>
  <c r="F154" i="9" s="1"/>
  <c r="G154" i="9" s="1"/>
  <c r="E155" i="9"/>
  <c r="F155" i="9" s="1"/>
  <c r="G155" i="9" s="1"/>
  <c r="E156" i="9"/>
  <c r="F156" i="9" s="1"/>
  <c r="G156" i="9" s="1"/>
  <c r="E157" i="9"/>
  <c r="F157" i="9" s="1"/>
  <c r="G157" i="9" s="1"/>
  <c r="E158" i="9"/>
  <c r="F158" i="9" s="1"/>
  <c r="G158" i="9" s="1"/>
  <c r="E159" i="9"/>
  <c r="F159" i="9" s="1"/>
  <c r="G159" i="9" s="1"/>
  <c r="E160" i="9"/>
  <c r="F160" i="9" s="1"/>
  <c r="G160" i="9" s="1"/>
  <c r="E161" i="9"/>
  <c r="F161" i="9" s="1"/>
  <c r="G161" i="9" s="1"/>
  <c r="E162" i="9"/>
  <c r="F162" i="9" s="1"/>
  <c r="G162" i="9" s="1"/>
  <c r="E163" i="9"/>
  <c r="F163" i="9" s="1"/>
  <c r="G163" i="9" s="1"/>
  <c r="E164" i="9"/>
  <c r="F164" i="9" s="1"/>
  <c r="G164" i="9" s="1"/>
  <c r="E165" i="9"/>
  <c r="F165" i="9" s="1"/>
  <c r="G165" i="9" s="1"/>
  <c r="E166" i="9"/>
  <c r="F166" i="9" s="1"/>
  <c r="G166" i="9" s="1"/>
  <c r="E167" i="9"/>
  <c r="F167" i="9" s="1"/>
  <c r="G167" i="9" s="1"/>
  <c r="E168" i="9"/>
  <c r="F168" i="9" s="1"/>
  <c r="G168" i="9" s="1"/>
  <c r="E169" i="9"/>
  <c r="F169" i="9" s="1"/>
  <c r="G169" i="9" s="1"/>
  <c r="E170" i="9"/>
  <c r="F170" i="9" s="1"/>
  <c r="G170" i="9" s="1"/>
  <c r="E171" i="9"/>
  <c r="F171" i="9" s="1"/>
  <c r="G171" i="9" s="1"/>
  <c r="E172" i="9"/>
  <c r="F172" i="9" s="1"/>
  <c r="G172" i="9" s="1"/>
  <c r="E173" i="9"/>
  <c r="F173" i="9" s="1"/>
  <c r="G173" i="9" s="1"/>
  <c r="E64" i="9"/>
  <c r="F64" i="9" s="1"/>
  <c r="G64" i="9" s="1"/>
  <c r="C38" i="9"/>
  <c r="D18" i="6"/>
  <c r="D19" i="6"/>
  <c r="D20" i="6"/>
  <c r="D21" i="6"/>
  <c r="D22" i="6"/>
  <c r="D23" i="6"/>
  <c r="D24" i="6"/>
  <c r="D25" i="6"/>
  <c r="D26" i="6"/>
  <c r="D27" i="6"/>
  <c r="D28" i="6"/>
  <c r="D58" i="9" s="1"/>
  <c r="E58" i="9" s="1"/>
  <c r="D29" i="6"/>
  <c r="D30" i="6"/>
  <c r="D31" i="6"/>
  <c r="D32" i="6"/>
  <c r="D33" i="6"/>
  <c r="D34" i="6"/>
  <c r="F70" i="9" l="1"/>
  <c r="G70" i="9" s="1"/>
  <c r="L326" i="11"/>
  <c r="D326" i="11"/>
  <c r="H326" i="11"/>
  <c r="P71" i="9"/>
  <c r="P87" i="9"/>
  <c r="G65" i="9"/>
  <c r="F65" i="9"/>
  <c r="H305" i="11"/>
  <c r="D305" i="11"/>
  <c r="L305" i="11"/>
  <c r="K168" i="11"/>
  <c r="L168" i="11"/>
  <c r="B168" i="11"/>
  <c r="J168" i="11"/>
  <c r="I168" i="11"/>
  <c r="C117" i="11"/>
  <c r="L117" i="11"/>
  <c r="I117" i="11"/>
  <c r="B117" i="11"/>
  <c r="M167" i="11"/>
  <c r="K117" i="11"/>
  <c r="J117" i="11"/>
  <c r="P86" i="9"/>
  <c r="P81" i="9"/>
  <c r="P97" i="9"/>
  <c r="P68" i="9"/>
  <c r="P84" i="9"/>
  <c r="P95" i="9"/>
  <c r="P79" i="9"/>
  <c r="P82" i="9"/>
  <c r="P67" i="9"/>
  <c r="P83" i="9"/>
  <c r="P69" i="9"/>
  <c r="P85" i="9"/>
  <c r="P74" i="9"/>
  <c r="P90" i="9"/>
  <c r="P88" i="9"/>
  <c r="P72" i="9"/>
  <c r="P94" i="9"/>
  <c r="P78" i="9"/>
  <c r="P75" i="9"/>
  <c r="P91" i="9"/>
  <c r="P73" i="9"/>
  <c r="P89" i="9"/>
  <c r="P92" i="9"/>
  <c r="P93" i="9"/>
  <c r="P77" i="9"/>
  <c r="P80" i="9"/>
  <c r="P96" i="9"/>
  <c r="M116" i="11"/>
  <c r="D52" i="9"/>
  <c r="E52" i="9" s="1"/>
  <c r="F52" i="9" s="1"/>
  <c r="M52" i="9"/>
  <c r="N52" i="9" s="1"/>
  <c r="O52" i="9" s="1"/>
  <c r="M53" i="9"/>
  <c r="N53" i="9" s="1"/>
  <c r="H58" i="9"/>
  <c r="F58" i="9"/>
  <c r="D53" i="9"/>
  <c r="E53" i="9" s="1"/>
  <c r="D57" i="9"/>
  <c r="E57" i="9" s="1"/>
  <c r="C42" i="9"/>
  <c r="AK11" i="9"/>
  <c r="AK12" i="9" s="1"/>
  <c r="AK13" i="9" s="1"/>
  <c r="AK14" i="9" s="1"/>
  <c r="BV49" i="9"/>
  <c r="BU49" i="9"/>
  <c r="AT73" i="9"/>
  <c r="AU73" i="9"/>
  <c r="AV73" i="9"/>
  <c r="AW73" i="9"/>
  <c r="AX73" i="9"/>
  <c r="AY73" i="9"/>
  <c r="AZ73" i="9"/>
  <c r="BA73" i="9"/>
  <c r="BB73" i="9"/>
  <c r="BC73" i="9"/>
  <c r="BD73" i="9"/>
  <c r="BE73" i="9"/>
  <c r="BF73" i="9"/>
  <c r="BG73" i="9"/>
  <c r="BH73" i="9"/>
  <c r="BI73" i="9"/>
  <c r="BJ73" i="9"/>
  <c r="BK73" i="9"/>
  <c r="BL73" i="9"/>
  <c r="BM73" i="9"/>
  <c r="BN73" i="9"/>
  <c r="BO73" i="9"/>
  <c r="BP73" i="9"/>
  <c r="BQ73" i="9"/>
  <c r="BR73" i="9"/>
  <c r="BS73" i="9"/>
  <c r="BT73" i="9"/>
  <c r="BU73" i="9"/>
  <c r="BV73" i="9"/>
  <c r="BW73" i="9"/>
  <c r="BX73" i="9"/>
  <c r="BY73" i="9"/>
  <c r="BZ73" i="9"/>
  <c r="CA73" i="9"/>
  <c r="CB73" i="9"/>
  <c r="CC73" i="9"/>
  <c r="CD73" i="9"/>
  <c r="CE73" i="9"/>
  <c r="CF73" i="9"/>
  <c r="CG73" i="9"/>
  <c r="CH73" i="9"/>
  <c r="CI73" i="9"/>
  <c r="CJ73" i="9"/>
  <c r="CK73" i="9"/>
  <c r="CL73" i="9"/>
  <c r="AS73" i="9"/>
  <c r="AT49" i="9"/>
  <c r="AU49" i="9"/>
  <c r="AV49" i="9"/>
  <c r="AW49" i="9"/>
  <c r="AX49" i="9"/>
  <c r="AY49" i="9"/>
  <c r="AZ49" i="9"/>
  <c r="BA49" i="9"/>
  <c r="BB49" i="9"/>
  <c r="BC49" i="9"/>
  <c r="BD49" i="9"/>
  <c r="BE49" i="9"/>
  <c r="BF49" i="9"/>
  <c r="BG49" i="9"/>
  <c r="BH49" i="9"/>
  <c r="BI49" i="9"/>
  <c r="BJ49" i="9"/>
  <c r="BK49" i="9"/>
  <c r="BL49" i="9"/>
  <c r="BM49" i="9"/>
  <c r="BN49" i="9"/>
  <c r="BO49" i="9"/>
  <c r="BP49" i="9"/>
  <c r="BQ49" i="9"/>
  <c r="BR49" i="9"/>
  <c r="BS49" i="9"/>
  <c r="BT49" i="9"/>
  <c r="BW49" i="9"/>
  <c r="BX49" i="9"/>
  <c r="BY49" i="9"/>
  <c r="BZ49" i="9"/>
  <c r="CA49" i="9"/>
  <c r="CB49" i="9"/>
  <c r="CC49" i="9"/>
  <c r="CD49" i="9"/>
  <c r="CE49" i="9"/>
  <c r="CF49" i="9"/>
  <c r="CG49" i="9"/>
  <c r="CH49" i="9"/>
  <c r="CI49" i="9"/>
  <c r="CJ49" i="9"/>
  <c r="CK49" i="9"/>
  <c r="CL49" i="9"/>
  <c r="AS49" i="9"/>
  <c r="D40" i="9"/>
  <c r="D44" i="9" s="1"/>
  <c r="D39" i="9"/>
  <c r="D38" i="9"/>
  <c r="D42" i="9" s="1"/>
  <c r="C39" i="9"/>
  <c r="C43" i="9" s="1"/>
  <c r="C40" i="9"/>
  <c r="J11" i="9"/>
  <c r="J12" i="9" s="1"/>
  <c r="J13" i="9" s="1"/>
  <c r="J14" i="9" s="1"/>
  <c r="B12" i="9"/>
  <c r="B13" i="9" s="1"/>
  <c r="B14" i="9" s="1"/>
  <c r="C11" i="9"/>
  <c r="C12" i="9" s="1"/>
  <c r="C13" i="9" s="1"/>
  <c r="C14" i="9" s="1"/>
  <c r="D11" i="9"/>
  <c r="D12" i="9" s="1"/>
  <c r="D13" i="9" s="1"/>
  <c r="D14" i="9" s="1"/>
  <c r="E11" i="9"/>
  <c r="E12" i="9" s="1"/>
  <c r="E13" i="9" s="1"/>
  <c r="E14" i="9" s="1"/>
  <c r="F11" i="9"/>
  <c r="F12" i="9" s="1"/>
  <c r="F13" i="9" s="1"/>
  <c r="F14" i="9" s="1"/>
  <c r="G11" i="9"/>
  <c r="G12" i="9" s="1"/>
  <c r="G13" i="9" s="1"/>
  <c r="G14" i="9" s="1"/>
  <c r="H11" i="9"/>
  <c r="H12" i="9" s="1"/>
  <c r="H13" i="9" s="1"/>
  <c r="H14" i="9" s="1"/>
  <c r="I11" i="9"/>
  <c r="I12" i="9" s="1"/>
  <c r="I13" i="9" s="1"/>
  <c r="I14" i="9" s="1"/>
  <c r="K11" i="9"/>
  <c r="K12" i="9" s="1"/>
  <c r="K13" i="9" s="1"/>
  <c r="K14" i="9" s="1"/>
  <c r="M11" i="9"/>
  <c r="M12" i="9" s="1"/>
  <c r="M13" i="9" s="1"/>
  <c r="M14" i="9" s="1"/>
  <c r="N11" i="9"/>
  <c r="N12" i="9" s="1"/>
  <c r="N13" i="9" s="1"/>
  <c r="N14" i="9" s="1"/>
  <c r="O11" i="9"/>
  <c r="O12" i="9" s="1"/>
  <c r="O13" i="9" s="1"/>
  <c r="O14" i="9" s="1"/>
  <c r="P11" i="9"/>
  <c r="P12" i="9" s="1"/>
  <c r="P13" i="9" s="1"/>
  <c r="P14" i="9" s="1"/>
  <c r="Q11" i="9"/>
  <c r="Q12" i="9" s="1"/>
  <c r="Q13" i="9" s="1"/>
  <c r="Q14" i="9" s="1"/>
  <c r="R11" i="9"/>
  <c r="R12" i="9" s="1"/>
  <c r="R13" i="9" s="1"/>
  <c r="R14" i="9" s="1"/>
  <c r="T11" i="9"/>
  <c r="T12" i="9" s="1"/>
  <c r="T13" i="9" s="1"/>
  <c r="T14" i="9" s="1"/>
  <c r="U11" i="9"/>
  <c r="U12" i="9" s="1"/>
  <c r="U13" i="9" s="1"/>
  <c r="U14" i="9" s="1"/>
  <c r="V11" i="9"/>
  <c r="V12" i="9" s="1"/>
  <c r="V13" i="9" s="1"/>
  <c r="V14" i="9" s="1"/>
  <c r="W11" i="9"/>
  <c r="W12" i="9" s="1"/>
  <c r="W13" i="9" s="1"/>
  <c r="W14" i="9" s="1"/>
  <c r="X11" i="9"/>
  <c r="X12" i="9" s="1"/>
  <c r="X13" i="9" s="1"/>
  <c r="X14" i="9" s="1"/>
  <c r="Y11" i="9"/>
  <c r="Y12" i="9" s="1"/>
  <c r="Y13" i="9" s="1"/>
  <c r="Y14" i="9" s="1"/>
  <c r="Z11" i="9"/>
  <c r="Z12" i="9" s="1"/>
  <c r="Z13" i="9" s="1"/>
  <c r="Z14" i="9" s="1"/>
  <c r="AA11" i="9"/>
  <c r="AA12" i="9" s="1"/>
  <c r="AA13" i="9" s="1"/>
  <c r="AA14" i="9" s="1"/>
  <c r="AB11" i="9"/>
  <c r="AB12" i="9" s="1"/>
  <c r="AB13" i="9" s="1"/>
  <c r="AB14" i="9" s="1"/>
  <c r="AC11" i="9"/>
  <c r="AC12" i="9" s="1"/>
  <c r="AC13" i="9" s="1"/>
  <c r="AC14" i="9" s="1"/>
  <c r="AD11" i="9"/>
  <c r="AD12" i="9" s="1"/>
  <c r="AD13" i="9" s="1"/>
  <c r="AD14" i="9" s="1"/>
  <c r="AF11" i="9"/>
  <c r="AF12" i="9" s="1"/>
  <c r="AF13" i="9" s="1"/>
  <c r="AF14" i="9" s="1"/>
  <c r="AI11" i="9"/>
  <c r="AI12" i="9" s="1"/>
  <c r="AI13" i="9" s="1"/>
  <c r="AI14" i="9" s="1"/>
  <c r="AL11" i="9"/>
  <c r="AL12" i="9" s="1"/>
  <c r="AL13" i="9" s="1"/>
  <c r="AL14" i="9" s="1"/>
  <c r="AM11" i="9"/>
  <c r="AM12" i="9" s="1"/>
  <c r="AM13" i="9" s="1"/>
  <c r="AM14" i="9" s="1"/>
  <c r="AN11" i="9"/>
  <c r="AN12" i="9" s="1"/>
  <c r="AN13" i="9" s="1"/>
  <c r="AN14" i="9" s="1"/>
  <c r="AO11" i="9"/>
  <c r="AO12" i="9" s="1"/>
  <c r="AO13" i="9" s="1"/>
  <c r="AO14" i="9" s="1"/>
  <c r="AP11" i="9"/>
  <c r="AP12" i="9" s="1"/>
  <c r="AP13" i="9" s="1"/>
  <c r="AP14" i="9" s="1"/>
  <c r="AQ11" i="9"/>
  <c r="AQ12" i="9" s="1"/>
  <c r="AQ13" i="9" s="1"/>
  <c r="AQ14" i="9" s="1"/>
  <c r="AR11" i="9"/>
  <c r="AR12" i="9" s="1"/>
  <c r="AR13" i="9" s="1"/>
  <c r="AR14" i="9" s="1"/>
  <c r="AS11" i="9"/>
  <c r="AS12" i="9" s="1"/>
  <c r="AS13" i="9" s="1"/>
  <c r="AS14" i="9" s="1"/>
  <c r="AU11" i="9"/>
  <c r="AU12" i="9" s="1"/>
  <c r="AU13" i="9" s="1"/>
  <c r="AU14" i="9" s="1"/>
  <c r="AV11" i="9"/>
  <c r="AV12" i="9" s="1"/>
  <c r="AV13" i="9" s="1"/>
  <c r="AV14" i="9" s="1"/>
  <c r="AW11" i="9"/>
  <c r="AW12" i="9" s="1"/>
  <c r="AW13" i="9" s="1"/>
  <c r="AW14" i="9" s="1"/>
  <c r="AY11" i="9"/>
  <c r="AY12" i="9" s="1"/>
  <c r="AY13" i="9" s="1"/>
  <c r="AZ11" i="9"/>
  <c r="AZ12" i="9" s="1"/>
  <c r="AZ13" i="9" s="1"/>
  <c r="BA11" i="9"/>
  <c r="BA12" i="9" s="1"/>
  <c r="BA13" i="9" s="1"/>
  <c r="BB11" i="9"/>
  <c r="BB12" i="9" s="1"/>
  <c r="BB13" i="9" s="1"/>
  <c r="F10" i="6"/>
  <c r="F9" i="6"/>
  <c r="D60" i="8"/>
  <c r="D63" i="8" s="1"/>
  <c r="D54" i="8"/>
  <c r="D57" i="8" s="1"/>
  <c r="D42" i="8"/>
  <c r="D45" i="8" s="1"/>
  <c r="D47" i="8"/>
  <c r="D50" i="8" s="1"/>
  <c r="D48" i="8"/>
  <c r="D51" i="8" s="1"/>
  <c r="C41" i="8"/>
  <c r="C44" i="8" s="1"/>
  <c r="C42" i="8"/>
  <c r="C45" i="8" s="1"/>
  <c r="F34" i="8"/>
  <c r="E34" i="8"/>
  <c r="D34" i="8"/>
  <c r="F31" i="8"/>
  <c r="E31" i="8"/>
  <c r="E32" i="8" s="1"/>
  <c r="D31" i="8"/>
  <c r="E33" i="8"/>
  <c r="D33" i="8"/>
  <c r="F33" i="8"/>
  <c r="F35" i="8" s="1"/>
  <c r="D30" i="8"/>
  <c r="F30" i="8"/>
  <c r="D31" i="7"/>
  <c r="B31" i="7"/>
  <c r="C31" i="7" s="1"/>
  <c r="B44" i="7"/>
  <c r="C44" i="7" s="1"/>
  <c r="BC14" i="9" l="1"/>
  <c r="C333" i="11"/>
  <c r="K333" i="11"/>
  <c r="G333" i="11"/>
  <c r="L333" i="11"/>
  <c r="D333" i="11"/>
  <c r="H333" i="11"/>
  <c r="K334" i="11"/>
  <c r="C334" i="11"/>
  <c r="G334" i="11"/>
  <c r="L304" i="11"/>
  <c r="L325" i="11"/>
  <c r="D325" i="11"/>
  <c r="H325" i="11"/>
  <c r="H335" i="11"/>
  <c r="L335" i="11"/>
  <c r="D335" i="11"/>
  <c r="G325" i="11"/>
  <c r="K325" i="11"/>
  <c r="C325" i="11"/>
  <c r="L334" i="11"/>
  <c r="D334" i="11"/>
  <c r="H334" i="11"/>
  <c r="K332" i="11"/>
  <c r="C332" i="11"/>
  <c r="G332" i="11"/>
  <c r="K335" i="11"/>
  <c r="C335" i="11"/>
  <c r="G335" i="11"/>
  <c r="G326" i="11"/>
  <c r="K326" i="11"/>
  <c r="C326" i="11"/>
  <c r="L332" i="11"/>
  <c r="D332" i="11"/>
  <c r="H332" i="11"/>
  <c r="D311" i="11"/>
  <c r="H311" i="11"/>
  <c r="L311" i="11"/>
  <c r="G305" i="11"/>
  <c r="K305" i="11"/>
  <c r="C305" i="11"/>
  <c r="C312" i="11"/>
  <c r="K312" i="11"/>
  <c r="G312" i="11"/>
  <c r="E259" i="11"/>
  <c r="H312" i="11"/>
  <c r="L312" i="11"/>
  <c r="D312" i="11"/>
  <c r="K313" i="11"/>
  <c r="G313" i="11"/>
  <c r="C313" i="11"/>
  <c r="H304" i="11"/>
  <c r="D304" i="11"/>
  <c r="H314" i="11"/>
  <c r="L314" i="11"/>
  <c r="D314" i="11"/>
  <c r="K314" i="11"/>
  <c r="G314" i="11"/>
  <c r="C314" i="11"/>
  <c r="G304" i="11"/>
  <c r="K304" i="11"/>
  <c r="C304" i="11"/>
  <c r="L313" i="11"/>
  <c r="D313" i="11"/>
  <c r="H313" i="11"/>
  <c r="C311" i="11"/>
  <c r="K311" i="11"/>
  <c r="G311" i="11"/>
  <c r="E258" i="11"/>
  <c r="E251" i="11"/>
  <c r="E260" i="11"/>
  <c r="E261" i="11"/>
  <c r="E252" i="11"/>
  <c r="D261" i="11"/>
  <c r="D252" i="11"/>
  <c r="D259" i="11"/>
  <c r="D258" i="11"/>
  <c r="D251" i="11"/>
  <c r="D260" i="11"/>
  <c r="D35" i="8"/>
  <c r="E35" i="8"/>
  <c r="D32" i="8"/>
  <c r="F32" i="8"/>
  <c r="C44" i="9"/>
  <c r="D43" i="9"/>
  <c r="G58" i="9"/>
  <c r="CM73" i="9"/>
  <c r="BV74" i="9" s="1"/>
  <c r="BV81" i="9" s="1"/>
  <c r="H57" i="9"/>
  <c r="F57" i="9"/>
  <c r="H53" i="9"/>
  <c r="F53" i="9"/>
  <c r="CM49" i="9"/>
  <c r="BT50" i="9" s="1"/>
  <c r="H52" i="9"/>
  <c r="B17" i="7"/>
  <c r="C17" i="7" s="1"/>
  <c r="B9" i="7"/>
  <c r="C9" i="7" s="1"/>
  <c r="B16" i="7"/>
  <c r="C16" i="7" s="1"/>
  <c r="B39" i="7"/>
  <c r="C39" i="7" s="1"/>
  <c r="B25" i="7"/>
  <c r="C25" i="7" s="1"/>
  <c r="B35" i="7"/>
  <c r="C35" i="7" s="1"/>
  <c r="B24" i="7"/>
  <c r="C24" i="7" s="1"/>
  <c r="B40" i="7"/>
  <c r="C40" i="7" s="1"/>
  <c r="B45" i="7"/>
  <c r="C45" i="7" s="1"/>
  <c r="B49" i="7"/>
  <c r="C49" i="7" s="1"/>
  <c r="B37" i="7"/>
  <c r="C37" i="7" s="1"/>
  <c r="B42" i="7"/>
  <c r="C42" i="7" s="1"/>
  <c r="B51" i="7"/>
  <c r="C51" i="7" s="1"/>
  <c r="B15" i="7"/>
  <c r="C15" i="7" s="1"/>
  <c r="B32" i="7"/>
  <c r="C32" i="7" s="1"/>
  <c r="B50" i="7"/>
  <c r="C50" i="7" s="1"/>
  <c r="B22" i="7"/>
  <c r="C22" i="7" s="1"/>
  <c r="B14" i="7"/>
  <c r="C14" i="7" s="1"/>
  <c r="B46" i="7"/>
  <c r="C46" i="7" s="1"/>
  <c r="B7" i="7"/>
  <c r="C7" i="7" s="1"/>
  <c r="B21" i="7"/>
  <c r="C21" i="7" s="1"/>
  <c r="B13" i="7"/>
  <c r="C13" i="7" s="1"/>
  <c r="B8" i="7"/>
  <c r="C8" i="7" s="1"/>
  <c r="B20" i="7"/>
  <c r="C20" i="7" s="1"/>
  <c r="B12" i="7"/>
  <c r="C12" i="7" s="1"/>
  <c r="B33" i="7"/>
  <c r="C33" i="7" s="1"/>
  <c r="B38" i="7"/>
  <c r="C38" i="7" s="1"/>
  <c r="B47" i="7"/>
  <c r="C47" i="7" s="1"/>
  <c r="B19" i="7"/>
  <c r="C19" i="7" s="1"/>
  <c r="B23" i="7"/>
  <c r="C23" i="7" s="1"/>
  <c r="B36" i="7"/>
  <c r="C36" i="7" s="1"/>
  <c r="B41" i="7"/>
  <c r="C41" i="7" s="1"/>
  <c r="B27" i="7"/>
  <c r="C27" i="7" s="1"/>
  <c r="B11" i="7"/>
  <c r="C11" i="7" s="1"/>
  <c r="B34" i="7"/>
  <c r="C34" i="7" s="1"/>
  <c r="B43" i="7"/>
  <c r="C43" i="7" s="1"/>
  <c r="B48" i="7"/>
  <c r="C48" i="7" s="1"/>
  <c r="B26" i="7"/>
  <c r="C26" i="7" s="1"/>
  <c r="B18" i="7"/>
  <c r="C18" i="7" s="1"/>
  <c r="B10" i="7"/>
  <c r="C10" i="7" s="1"/>
  <c r="G53" i="9" l="1"/>
  <c r="AT74" i="9"/>
  <c r="AT81" i="9" s="1"/>
  <c r="BZ50" i="9"/>
  <c r="BZ80" i="9" s="1"/>
  <c r="BR50" i="9"/>
  <c r="AU50" i="9"/>
  <c r="AU80" i="9" s="1"/>
  <c r="CB50" i="9"/>
  <c r="CB80" i="9" s="1"/>
  <c r="BC50" i="9"/>
  <c r="BC80" i="9" s="1"/>
  <c r="CH50" i="9"/>
  <c r="CH80" i="9" s="1"/>
  <c r="CJ50" i="9"/>
  <c r="CJ80" i="9" s="1"/>
  <c r="CK50" i="9"/>
  <c r="CK80" i="9" s="1"/>
  <c r="AV50" i="9"/>
  <c r="AV80" i="9" s="1"/>
  <c r="CH74" i="9"/>
  <c r="CH81" i="9" s="1"/>
  <c r="BB50" i="9"/>
  <c r="BS50" i="9"/>
  <c r="CI50" i="9"/>
  <c r="CI80" i="9" s="1"/>
  <c r="CD50" i="9"/>
  <c r="BD50" i="9"/>
  <c r="BD80" i="9" s="1"/>
  <c r="BX74" i="9"/>
  <c r="BX81" i="9" s="1"/>
  <c r="CD74" i="9"/>
  <c r="CL50" i="9"/>
  <c r="CL80" i="9" s="1"/>
  <c r="BJ74" i="9"/>
  <c r="G52" i="9"/>
  <c r="CA50" i="9"/>
  <c r="CA80" i="9" s="1"/>
  <c r="AT50" i="9"/>
  <c r="AT80" i="9" s="1"/>
  <c r="BZ74" i="9"/>
  <c r="BZ81" i="9" s="1"/>
  <c r="BU50" i="9"/>
  <c r="BU80" i="9" s="1"/>
  <c r="BK50" i="9"/>
  <c r="BK80" i="9" s="1"/>
  <c r="CF74" i="9"/>
  <c r="BA74" i="9"/>
  <c r="BA81" i="9" s="1"/>
  <c r="AZ50" i="9"/>
  <c r="AZ80" i="9" s="1"/>
  <c r="BH50" i="9"/>
  <c r="BP50" i="9"/>
  <c r="BX50" i="9"/>
  <c r="BX80" i="9" s="1"/>
  <c r="CF50" i="9"/>
  <c r="BA50" i="9"/>
  <c r="BI50" i="9"/>
  <c r="BQ50" i="9"/>
  <c r="BQ80" i="9" s="1"/>
  <c r="BY50" i="9"/>
  <c r="BY80" i="9" s="1"/>
  <c r="CG50" i="9"/>
  <c r="BE50" i="9"/>
  <c r="BO50" i="9"/>
  <c r="AW50" i="9"/>
  <c r="AW80" i="9" s="1"/>
  <c r="BM50" i="9"/>
  <c r="BW50" i="9"/>
  <c r="BW80" i="9" s="1"/>
  <c r="BG50" i="9"/>
  <c r="BG80" i="9" s="1"/>
  <c r="AX50" i="9"/>
  <c r="AX80" i="9" s="1"/>
  <c r="BF50" i="9"/>
  <c r="BN50" i="9"/>
  <c r="BN80" i="9" s="1"/>
  <c r="AY50" i="9"/>
  <c r="AY80" i="9" s="1"/>
  <c r="CE50" i="9"/>
  <c r="AS50" i="9"/>
  <c r="AS80" i="9" s="1"/>
  <c r="BV50" i="9"/>
  <c r="BV80" i="9" s="1"/>
  <c r="BJ50" i="9"/>
  <c r="BL50" i="9"/>
  <c r="BL80" i="9" s="1"/>
  <c r="BI74" i="9"/>
  <c r="CC50" i="9"/>
  <c r="BF74" i="9"/>
  <c r="AZ74" i="9"/>
  <c r="AZ81" i="9" s="1"/>
  <c r="BQ74" i="9"/>
  <c r="BQ81" i="9" s="1"/>
  <c r="AY74" i="9"/>
  <c r="AY81" i="9" s="1"/>
  <c r="BG74" i="9"/>
  <c r="BG81" i="9" s="1"/>
  <c r="BO74" i="9"/>
  <c r="BW74" i="9"/>
  <c r="BW81" i="9" s="1"/>
  <c r="CE74" i="9"/>
  <c r="AS74" i="9"/>
  <c r="AS81" i="9" s="1"/>
  <c r="BC74" i="9"/>
  <c r="BC81" i="9" s="1"/>
  <c r="BK74" i="9"/>
  <c r="BK81" i="9" s="1"/>
  <c r="CA74" i="9"/>
  <c r="CA81" i="9" s="1"/>
  <c r="AU74" i="9"/>
  <c r="AU81" i="9" s="1"/>
  <c r="BS74" i="9"/>
  <c r="CI74" i="9"/>
  <c r="CI81" i="9" s="1"/>
  <c r="AV74" i="9"/>
  <c r="AV81" i="9" s="1"/>
  <c r="BD74" i="9"/>
  <c r="BD81" i="9" s="1"/>
  <c r="BL74" i="9"/>
  <c r="BL81" i="9" s="1"/>
  <c r="BT74" i="9"/>
  <c r="BT81" i="9" s="1"/>
  <c r="CB74" i="9"/>
  <c r="CB81" i="9" s="1"/>
  <c r="CJ74" i="9"/>
  <c r="CJ81" i="9" s="1"/>
  <c r="AW74" i="9"/>
  <c r="AW81" i="9" s="1"/>
  <c r="BE74" i="9"/>
  <c r="BM74" i="9"/>
  <c r="BM81" i="9" s="1"/>
  <c r="BU74" i="9"/>
  <c r="BU81" i="9" s="1"/>
  <c r="CC74" i="9"/>
  <c r="CC81" i="9" s="1"/>
  <c r="CK74" i="9"/>
  <c r="CK81" i="9" s="1"/>
  <c r="BH74" i="9"/>
  <c r="AX74" i="9"/>
  <c r="AX81" i="9" s="1"/>
  <c r="BY74" i="9"/>
  <c r="BY81" i="9" s="1"/>
  <c r="BB74" i="9"/>
  <c r="BB81" i="9" s="1"/>
  <c r="CL74" i="9"/>
  <c r="CL81" i="9" s="1"/>
  <c r="G57" i="9"/>
  <c r="BP74" i="9"/>
  <c r="BN74" i="9"/>
  <c r="BN81" i="9" s="1"/>
  <c r="CG74" i="9"/>
  <c r="BR74" i="9"/>
  <c r="E38" i="7"/>
  <c r="F38" i="7" s="1"/>
  <c r="E45" i="7"/>
  <c r="F45" i="7" s="1"/>
  <c r="E48" i="7"/>
  <c r="F48" i="7" s="1"/>
  <c r="E51" i="7"/>
  <c r="F51" i="7" s="1"/>
  <c r="E32" i="7"/>
  <c r="F32" i="7" s="1"/>
  <c r="E35" i="7"/>
  <c r="F35" i="7" s="1"/>
  <c r="E43" i="7"/>
  <c r="F43" i="7" s="1"/>
  <c r="E41" i="7"/>
  <c r="F41" i="7" s="1"/>
  <c r="E49" i="7"/>
  <c r="F49" i="7" s="1"/>
  <c r="E44" i="7"/>
  <c r="F44" i="7" s="1"/>
  <c r="E50" i="7"/>
  <c r="F50" i="7" s="1"/>
  <c r="E36" i="7"/>
  <c r="F36" i="7" s="1"/>
  <c r="E47" i="7"/>
  <c r="F47" i="7" s="1"/>
  <c r="E33" i="7"/>
  <c r="F33" i="7" s="1"/>
  <c r="E34" i="7"/>
  <c r="F34" i="7" s="1"/>
  <c r="E42" i="7"/>
  <c r="F42" i="7" s="1"/>
  <c r="E40" i="7"/>
  <c r="F40" i="7" s="1"/>
  <c r="E39" i="7"/>
  <c r="F39" i="7" s="1"/>
  <c r="E37" i="7"/>
  <c r="F37" i="7" s="1"/>
  <c r="E46" i="7"/>
  <c r="F46" i="7" s="1"/>
  <c r="E9" i="7"/>
  <c r="F9" i="7" s="1"/>
  <c r="E17" i="7"/>
  <c r="F17" i="7" s="1"/>
  <c r="E25" i="7"/>
  <c r="F25" i="7" s="1"/>
  <c r="E10" i="7"/>
  <c r="F10" i="7" s="1"/>
  <c r="E18" i="7"/>
  <c r="F18" i="7" s="1"/>
  <c r="E26" i="7"/>
  <c r="F26" i="7" s="1"/>
  <c r="E19" i="7"/>
  <c r="F19" i="7" s="1"/>
  <c r="E12" i="7"/>
  <c r="F12" i="7" s="1"/>
  <c r="E21" i="7"/>
  <c r="F21" i="7" s="1"/>
  <c r="E22" i="7"/>
  <c r="F22" i="7" s="1"/>
  <c r="E15" i="7"/>
  <c r="F15" i="7" s="1"/>
  <c r="E23" i="7"/>
  <c r="F23" i="7" s="1"/>
  <c r="E11" i="7"/>
  <c r="F11" i="7" s="1"/>
  <c r="E8" i="7"/>
  <c r="F8" i="7" s="1"/>
  <c r="E16" i="7"/>
  <c r="F16" i="7" s="1"/>
  <c r="E24" i="7"/>
  <c r="F24" i="7" s="1"/>
  <c r="E27" i="7"/>
  <c r="F27" i="7" s="1"/>
  <c r="E20" i="7"/>
  <c r="F20" i="7" s="1"/>
  <c r="E13" i="7"/>
  <c r="F13" i="7" s="1"/>
  <c r="E14" i="7"/>
  <c r="F14" i="7" s="1"/>
  <c r="AS83" i="9" l="1"/>
  <c r="AS84" i="9"/>
  <c r="G31" i="7"/>
  <c r="G7" i="7"/>
</calcChain>
</file>

<file path=xl/sharedStrings.xml><?xml version="1.0" encoding="utf-8"?>
<sst xmlns="http://schemas.openxmlformats.org/spreadsheetml/2006/main" count="4744" uniqueCount="1303">
  <si>
    <t>Source</t>
  </si>
  <si>
    <t>Source:</t>
  </si>
  <si>
    <t>Technology</t>
  </si>
  <si>
    <t>Sources:</t>
  </si>
  <si>
    <t>[2] Anne Hauch et al</t>
  </si>
  <si>
    <t>Year</t>
  </si>
  <si>
    <t>[1]</t>
  </si>
  <si>
    <t>Efficiency</t>
  </si>
  <si>
    <t>Region</t>
  </si>
  <si>
    <t>[2]</t>
  </si>
  <si>
    <t>Parameter</t>
  </si>
  <si>
    <t>discount_rate</t>
  </si>
  <si>
    <t>value</t>
  </si>
  <si>
    <t>unit</t>
  </si>
  <si>
    <t>source</t>
  </si>
  <si>
    <t>frac</t>
  </si>
  <si>
    <t>assumption</t>
  </si>
  <si>
    <t>Lifetime (yrs)</t>
  </si>
  <si>
    <t>SOEC 1 MW 2030</t>
  </si>
  <si>
    <t>Cash Flows, nom</t>
  </si>
  <si>
    <t>Cash Flows, dis</t>
  </si>
  <si>
    <t>Ann. cost (€20/yr), nom</t>
  </si>
  <si>
    <t>Ann. cost (€20/yr), dis</t>
  </si>
  <si>
    <t>CRF</t>
  </si>
  <si>
    <t>Spine Inv. Cost (€20/MW/period)</t>
  </si>
  <si>
    <t>Comment:</t>
  </si>
  <si>
    <t>The "Spine Inv. Costs" is in this case exactly the sum of the annualised discounted costs, as lifetime is 20 yr, 2050-2030=20 and representative period represents a year</t>
  </si>
  <si>
    <t>SOEC 1 MW 2050</t>
  </si>
  <si>
    <t>[3] The source that Mason cited</t>
  </si>
  <si>
    <t>Water Cons. (kg/MWhin)</t>
  </si>
  <si>
    <t>Rec. Heat Loss (frac/MWhin)</t>
  </si>
  <si>
    <t>[4] Heat recovery estimates (use DEA process heat technology catalogue instead) https://assets.publishing.service.gov.uk/government/uploads/system/uploads/attachment_data/file/294901/element_energy_et_al_potential_for_recovering_and_using_surplus_heat_from_industry_appendix.pdf</t>
  </si>
  <si>
    <t>DEA technology catalogue on AEC includes a waste heat output stream of 50 C</t>
  </si>
  <si>
    <t>med</t>
  </si>
  <si>
    <t>small</t>
  </si>
  <si>
    <t>[1] "Transport af gasformige…." ENS, som bruger data fra "Extending the European Hydrogen Backbone" 2021</t>
  </si>
  <si>
    <t>Quick maths:</t>
  </si>
  <si>
    <t>new</t>
  </si>
  <si>
    <t>conv</t>
  </si>
  <si>
    <t>large</t>
  </si>
  <si>
    <t>GW/inch</t>
  </si>
  <si>
    <t>MDKK/km/inch</t>
  </si>
  <si>
    <t>MDKK/km/GW</t>
  </si>
  <si>
    <t>Længde fra kbh-esb</t>
  </si>
  <si>
    <t>300 km</t>
  </si>
  <si>
    <t xml:space="preserve">ny </t>
  </si>
  <si>
    <t>Considerations:</t>
  </si>
  <si>
    <t>Maybe make three types of investments instead of finding MDKK/GW</t>
  </si>
  <si>
    <t>not used, after inspecting flow in model, medium chosen for CPH-ESB</t>
  </si>
  <si>
    <t>assumed DKK20 prices</t>
  </si>
  <si>
    <t>not possible</t>
  </si>
  <si>
    <t>ny, kap</t>
  </si>
  <si>
    <t>konv, kap</t>
  </si>
  <si>
    <t>4,7 GW</t>
  </si>
  <si>
    <t>3,6 GW</t>
  </si>
  <si>
    <t>konv</t>
  </si>
  <si>
    <t>omkostninger, MDKK</t>
  </si>
  <si>
    <t>omkostninger, M€</t>
  </si>
  <si>
    <t>CPH-ESB</t>
  </si>
  <si>
    <t>ESB-GER</t>
  </si>
  <si>
    <t>MJ/kg</t>
  </si>
  <si>
    <t>ESB-HAU</t>
  </si>
  <si>
    <t>Længde ESB-HAU</t>
  </si>
  <si>
    <t>546 km</t>
  </si>
  <si>
    <t>omkostninger, €</t>
  </si>
  <si>
    <t>Længde CPH-GOT</t>
  </si>
  <si>
    <t>333 km</t>
  </si>
  <si>
    <t>Population</t>
  </si>
  <si>
    <t>DK</t>
  </si>
  <si>
    <t>NO</t>
  </si>
  <si>
    <t>SE</t>
  </si>
  <si>
    <t>SUM</t>
  </si>
  <si>
    <t>Economic</t>
  </si>
  <si>
    <t>Ammonia</t>
  </si>
  <si>
    <t>Area</t>
  </si>
  <si>
    <t>#</t>
  </si>
  <si>
    <t>km^2</t>
  </si>
  <si>
    <t>Sum of area_2</t>
  </si>
  <si>
    <t>Column Labels</t>
  </si>
  <si>
    <t>Row Labels</t>
  </si>
  <si>
    <t>DK1</t>
  </si>
  <si>
    <t>DK2</t>
  </si>
  <si>
    <t>NO1</t>
  </si>
  <si>
    <t>NO2</t>
  </si>
  <si>
    <t>NO3</t>
  </si>
  <si>
    <t>NO4</t>
  </si>
  <si>
    <t>NO5</t>
  </si>
  <si>
    <t>SE1</t>
  </si>
  <si>
    <t>SE2</t>
  </si>
  <si>
    <t>SE3</t>
  </si>
  <si>
    <t>SE4</t>
  </si>
  <si>
    <t>Grand Total</t>
  </si>
  <si>
    <t>DK01</t>
  </si>
  <si>
    <t>QGIS method:</t>
  </si>
  <si>
    <t>DK02</t>
  </si>
  <si>
    <t xml:space="preserve">- Intersection algorithm input nordpool overlayered NUTS2 </t>
  </si>
  <si>
    <t>DK03</t>
  </si>
  <si>
    <t>- Add gemoetrical features (areas etc)</t>
  </si>
  <si>
    <t>DK04</t>
  </si>
  <si>
    <t>DK05</t>
  </si>
  <si>
    <t>NO02</t>
  </si>
  <si>
    <t>NO06</t>
  </si>
  <si>
    <t>NO07</t>
  </si>
  <si>
    <t>NO08</t>
  </si>
  <si>
    <t>NO09</t>
  </si>
  <si>
    <t>NO0A</t>
  </si>
  <si>
    <t>SE11</t>
  </si>
  <si>
    <t>SE12</t>
  </si>
  <si>
    <t>SE21</t>
  </si>
  <si>
    <t>SE22</t>
  </si>
  <si>
    <t>SE23</t>
  </si>
  <si>
    <t>SE31</t>
  </si>
  <si>
    <t>SE32</t>
  </si>
  <si>
    <t>SE33</t>
  </si>
  <si>
    <t>ratio</t>
  </si>
  <si>
    <t>S2Biom</t>
  </si>
  <si>
    <t>Stemwood from final fellings originating from broadleaf  trees</t>
  </si>
  <si>
    <t>Stemwood from final fellings originating from conifer trees</t>
  </si>
  <si>
    <t>Stemwood from thinnings  originating from broadleaf trees</t>
  </si>
  <si>
    <t>Stemwood from thinnings  originating from conifer  trees</t>
  </si>
  <si>
    <t>Logging residues from final fellings originating from broadleaf  trees</t>
  </si>
  <si>
    <t>Logging residues from final fellings originating from conifer trees</t>
  </si>
  <si>
    <t>Logging residues from thinnings  originating from broadleaf  trees</t>
  </si>
  <si>
    <t>Logging residues from thinnings  originating from conifer  trees</t>
  </si>
  <si>
    <t>Stumps from final fellings originating from broadleaf  trees</t>
  </si>
  <si>
    <t>Stumps from final fellings originating from conifer trees</t>
  </si>
  <si>
    <t>Miscanthus (Perennial grass)</t>
  </si>
  <si>
    <t>Switchgrass (Perennial grass)</t>
  </si>
  <si>
    <t>Giant reed (Perennial grass)</t>
  </si>
  <si>
    <t>Cardoon (Perennial crop)</t>
  </si>
  <si>
    <t>Reed Canary Grass (Perennial crop)</t>
  </si>
  <si>
    <t xml:space="preserve"> SRC Willow (1.1.1.3 ISO)</t>
  </si>
  <si>
    <t>SRC Other (incl. Eucalyptus)</t>
  </si>
  <si>
    <t>Rice straw</t>
  </si>
  <si>
    <t>Cereal (wheat) straw</t>
  </si>
  <si>
    <t>Oil seed rape straw</t>
  </si>
  <si>
    <t>Maize stover</t>
  </si>
  <si>
    <t>Sugarbeet tops/leaves</t>
  </si>
  <si>
    <t>Sunflower straw/stalks</t>
  </si>
  <si>
    <t>Residues from vineyards</t>
  </si>
  <si>
    <t>Residues from fruit tree plantations</t>
  </si>
  <si>
    <t>Residues from olive tree plantations</t>
  </si>
  <si>
    <t>Residues from citrus tree plantations</t>
  </si>
  <si>
    <t>Unused grassland cuttings (abandoned grassland, managed grassland)</t>
  </si>
  <si>
    <t>Grassy biomass from landscape maintenance (recreational and nature protection areas, dykes)</t>
  </si>
  <si>
    <t>Woody biomass from landscape maintenance (landscape elements)</t>
  </si>
  <si>
    <t>Grassy biomass from road side verges</t>
  </si>
  <si>
    <t>Woody biomass from road side verges</t>
  </si>
  <si>
    <t>Sawdust from conifers</t>
  </si>
  <si>
    <t>Sawdust from nonconifers</t>
  </si>
  <si>
    <t>Sawmill residues, conifers (excluding sawdust)</t>
  </si>
  <si>
    <t>Sawmill residues, broadleafs (excluding sawdust)</t>
  </si>
  <si>
    <t>Residues industries producing semi finished wood based panels</t>
  </si>
  <si>
    <t>Residuesfrom further wood processing</t>
  </si>
  <si>
    <t>Bark</t>
  </si>
  <si>
    <t>Black liquor</t>
  </si>
  <si>
    <t>Olive stones</t>
  </si>
  <si>
    <t>Other by-products and residues from food and fruit processing industry</t>
  </si>
  <si>
    <t>Rice husk</t>
  </si>
  <si>
    <t>Pressed grapes dregs</t>
  </si>
  <si>
    <t>Cereal bran</t>
  </si>
  <si>
    <t>Cotton acorns</t>
  </si>
  <si>
    <t xml:space="preserve"> Biowaste as part of integrally collected municipal waste: Biodegradable waste of not separately collected municipal  waste (excluding
textile and paper)</t>
  </si>
  <si>
    <t>Separately collected biowaste: Biodegradable waste of separately collected municipal  waste
(excluding textile and</t>
  </si>
  <si>
    <t>Hazardous post consumer wood</t>
  </si>
  <si>
    <t>Non hazardous post consumer wood</t>
  </si>
  <si>
    <t>kg/MJ</t>
  </si>
  <si>
    <t>t/GJ</t>
  </si>
  <si>
    <t>t/MWh</t>
  </si>
  <si>
    <t>Ruiz, P., Sgobbi, A., Nijs, W., Longa, F. D., &amp; Kober, T. (2015). The JRC-EU-TIMES model . Bioenergy potentials for EU and neighbouring countries . https://doi.org/10.2790/39014</t>
  </si>
  <si>
    <t>Supply chain 1</t>
  </si>
  <si>
    <t>Supply chain 2</t>
  </si>
  <si>
    <t xml:space="preserve">NO </t>
  </si>
  <si>
    <t>assumed equal to Sweden</t>
  </si>
  <si>
    <t>Low</t>
  </si>
  <si>
    <t>High</t>
  </si>
  <si>
    <t>SUM DK</t>
  </si>
  <si>
    <t>SUM SE</t>
  </si>
  <si>
    <t>CHECK CALORIFIC VALUE, TO MAKE HARMOGINIZED TRANSPORT COSTS</t>
  </si>
  <si>
    <t>Low calorific value</t>
  </si>
  <si>
    <t>inverse calorific val</t>
  </si>
  <si>
    <t>TOTAL</t>
  </si>
  <si>
    <t>GJ from S2Biom</t>
  </si>
  <si>
    <t>Weights DK</t>
  </si>
  <si>
    <t>Weighted DK</t>
  </si>
  <si>
    <t>Weighted SE</t>
  </si>
  <si>
    <t>Weighted ave DK</t>
  </si>
  <si>
    <t>Weighted ave SE</t>
  </si>
  <si>
    <t>woodchips</t>
  </si>
  <si>
    <t>Straw/stover</t>
  </si>
  <si>
    <t>2004$ * t / km</t>
  </si>
  <si>
    <t>2004$ / t</t>
  </si>
  <si>
    <t>15€/km/ton</t>
  </si>
  <si>
    <t>15€/km/MWh</t>
  </si>
  <si>
    <t>Inflation [1]</t>
  </si>
  <si>
    <t xml:space="preserve">prc_HICP_AIND https://ec.europa.eu/eurostat/databrowser/view/PRC_HICP_AIND__custom_2121536/default/table?lang=en </t>
  </si>
  <si>
    <t>2004</t>
  </si>
  <si>
    <t>2005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</si>
  <si>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</si>
  <si>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</si>
  <si>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</si>
  <si>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</si>
  <si>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</si>
  <si>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</si>
  <si>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</si>
  <si>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</si>
  <si>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</si>
  <si>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</si>
  <si>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</si>
  <si>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</si>
  <si>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</si>
  <si>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</si>
  <si>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</si>
  <si>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</si>
  <si>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>US (ind=15)</t>
  </si>
  <si>
    <t>US (ind=04)</t>
  </si>
  <si>
    <t>15$ * t / km</t>
  </si>
  <si>
    <t>15$ /t</t>
  </si>
  <si>
    <t>Exchange rates historical [2]</t>
  </si>
  <si>
    <t>Historical exchange rates, https://www.x-rates.com/historical/?from=USD&amp;amount=1&amp;date=2015-12-31</t>
  </si>
  <si>
    <t>$15</t>
  </si>
  <si>
    <t>€15 * t / km</t>
  </si>
  <si>
    <t>€15 / t</t>
  </si>
  <si>
    <t>€15 / MWh</t>
  </si>
  <si>
    <t>€15 * MWh / km, low</t>
  </si>
  <si>
    <t>€15 * MWh / km, high</t>
  </si>
  <si>
    <t>€15 / MWh, low</t>
  </si>
  <si>
    <t>€15 / MWh, high</t>
  </si>
  <si>
    <t>Trucks</t>
  </si>
  <si>
    <t>Ship</t>
  </si>
  <si>
    <t>average</t>
  </si>
  <si>
    <t>Average</t>
  </si>
  <si>
    <t>InputID</t>
  </si>
  <si>
    <t>TargetID</t>
  </si>
  <si>
    <t>Centroid distances from QGIS</t>
  </si>
  <si>
    <t>Distance, m</t>
  </si>
  <si>
    <t>km</t>
  </si>
  <si>
    <t>- centroid distance: a bit of an underestimation? That's fine for now - use high prices</t>
  </si>
  <si>
    <t>Truck</t>
  </si>
  <si>
    <t>SHOULD INCLUDE FIX COSTS AS WELL!!! Shipping fix costs much higher than truck</t>
  </si>
  <si>
    <t>search literature</t>
  </si>
  <si>
    <t>Truck prices</t>
  </si>
  <si>
    <t>Investment Costs (€15/MWout)</t>
  </si>
  <si>
    <t>[1] DEA Technology Catalogue for renewable fuels, 2021</t>
  </si>
  <si>
    <t/>
  </si>
  <si>
    <t>1996</t>
  </si>
  <si>
    <t>1997</t>
  </si>
  <si>
    <t>1998</t>
  </si>
  <si>
    <t>1999</t>
  </si>
  <si>
    <t>2000</t>
  </si>
  <si>
    <t>2001</t>
  </si>
  <si>
    <t>2002</t>
  </si>
  <si>
    <t>2003</t>
  </si>
  <si>
    <t>DK (ind=15)</t>
  </si>
  <si>
    <t>DK (ind=20)</t>
  </si>
  <si>
    <t>Investment Costs (€15/X)</t>
  </si>
  <si>
    <t>CO2_STO (X=tCO2)</t>
  </si>
  <si>
    <t>FO/M (€15/yr/X)</t>
  </si>
  <si>
    <t>Scaled to 4 week resolution</t>
  </si>
  <si>
    <t>Toluene: Loading/unloading cost (EUR/[ton toluene])</t>
  </si>
  <si>
    <t>Toluene: Driving cost (EUR/[ton toluene]/km)</t>
  </si>
  <si>
    <t>from DEA energy transport, Tolulene</t>
  </si>
  <si>
    <t>DNK</t>
  </si>
  <si>
    <t>SWE</t>
  </si>
  <si>
    <t>NOR</t>
  </si>
  <si>
    <t>QGIS Centroid calculation</t>
  </si>
  <si>
    <t>connections</t>
  </si>
  <si>
    <t>TRAN_JetFuel_DK-NO</t>
  </si>
  <si>
    <t>TRAN_JetFuel_NO-SE</t>
  </si>
  <si>
    <t>TRAN_Road_SE-DK</t>
  </si>
  <si>
    <t>TRAN_Shipping_DK-NO</t>
  </si>
  <si>
    <t>TRAN_Road_DK-NO</t>
  </si>
  <si>
    <t>TRAN_Shipping_SE-DK</t>
  </si>
  <si>
    <t>TRAN_Road_NO-SE</t>
  </si>
  <si>
    <t>TRAN_JetFuel_SE-DK</t>
  </si>
  <si>
    <t>TRAN_Shipping_NO-SE</t>
  </si>
  <si>
    <t>Fuels</t>
  </si>
  <si>
    <t>Diesel</t>
  </si>
  <si>
    <t>Methanol</t>
  </si>
  <si>
    <t>Biogasoline</t>
  </si>
  <si>
    <t>Bio-oil</t>
  </si>
  <si>
    <t>LHV (MJ/kg)</t>
  </si>
  <si>
    <t>LHV (MWh/t)</t>
  </si>
  <si>
    <t>Kerosene</t>
  </si>
  <si>
    <t>sources for LHVs:</t>
  </si>
  <si>
    <t>https://www.claverton-energy.com/wordpress/wp-content/uploads/2012/08/the_energy_and_fuel_data_sheet1.pdf</t>
  </si>
  <si>
    <t>https://www.engineeringtoolbox.com/fuels-higher-calorific-values-d_169.html</t>
  </si>
  <si>
    <t>Y</t>
  </si>
  <si>
    <t>N</t>
  </si>
  <si>
    <t>for road?</t>
  </si>
  <si>
    <t>for avia?</t>
  </si>
  <si>
    <t>for ship?</t>
  </si>
  <si>
    <t>Average LHV (MWh/t)</t>
  </si>
  <si>
    <t>Chosen lower bound:</t>
  </si>
  <si>
    <t>chosen higher bound:</t>
  </si>
  <si>
    <t>TRAN_Straw_DK1-DK2</t>
  </si>
  <si>
    <t>TRAN_Straw_DK1-NO2</t>
  </si>
  <si>
    <t>TRAN_Straw_DK2-NO1</t>
  </si>
  <si>
    <t>TRAN_Straw_DK2-SE4</t>
  </si>
  <si>
    <t>TRAN_Straw_NO1-NO3</t>
  </si>
  <si>
    <t>TRAN_Straw_NO1-NO5</t>
  </si>
  <si>
    <t>TRAN_Straw_NO2-NO1</t>
  </si>
  <si>
    <t>TRAN_Straw_NO2-NO5</t>
  </si>
  <si>
    <t>TRAN_Straw_NO3-NO4</t>
  </si>
  <si>
    <t>TRAN_Straw_NO5-NO3</t>
  </si>
  <si>
    <t>TRAN_Straw_SE1-NO4</t>
  </si>
  <si>
    <t>TRAN_Straw_SE2-NO3</t>
  </si>
  <si>
    <t>TRAN_Straw_SE2-SE1</t>
  </si>
  <si>
    <t>TRAN_Straw_SE3-NO1</t>
  </si>
  <si>
    <t>TRAN_Straw_SE3-SE2</t>
  </si>
  <si>
    <t>TRAN_Straw_SE4-SE3</t>
  </si>
  <si>
    <t>TRAN_Wood_DK1-DK2</t>
  </si>
  <si>
    <t>TRAN_Wood_DK1-NO2</t>
  </si>
  <si>
    <t>TRAN_Wood_DK2-NO1</t>
  </si>
  <si>
    <t>TRAN_Wood_DK2-SE4</t>
  </si>
  <si>
    <t>TRAN_Wood_NO1-NO3</t>
  </si>
  <si>
    <t>TRAN_Wood_NO1-NO5</t>
  </si>
  <si>
    <t>TRAN_Wood_NO2-NO1</t>
  </si>
  <si>
    <t>TRAN_Wood_NO2-NO5</t>
  </si>
  <si>
    <t>TRAN_Wood_NO3-NO4</t>
  </si>
  <si>
    <t>TRAN_Wood_NO5-NO3</t>
  </si>
  <si>
    <t>TRAN_Wood_SE1-NO4</t>
  </si>
  <si>
    <t>TRAN_Wood_SE2-NO3</t>
  </si>
  <si>
    <t>TRAN_Wood_SE2-SE1</t>
  </si>
  <si>
    <t>TRAN_Wood_SE3-NO1</t>
  </si>
  <si>
    <t>TRAN_Wood_SE3-SE2</t>
  </si>
  <si>
    <t>TRAN_Wood_SE4-SE3</t>
  </si>
  <si>
    <t>reg2</t>
  </si>
  <si>
    <t>reg</t>
  </si>
  <si>
    <t>DK1-DK2</t>
  </si>
  <si>
    <t>DK2-NO2</t>
  </si>
  <si>
    <t>DK2-SE1</t>
  </si>
  <si>
    <t>DK2-SE4</t>
  </si>
  <si>
    <t>DK2-DK1</t>
  </si>
  <si>
    <t>DK2-NO5</t>
  </si>
  <si>
    <t>DK2-NO1</t>
  </si>
  <si>
    <t>DK2-NO4</t>
  </si>
  <si>
    <t>DK2-NO3</t>
  </si>
  <si>
    <t>DK2-SE2</t>
  </si>
  <si>
    <t>DK2-SE3</t>
  </si>
  <si>
    <t>DK1-NO2</t>
  </si>
  <si>
    <t>DK1-SE1</t>
  </si>
  <si>
    <t>DK1-SE4</t>
  </si>
  <si>
    <t>DK1-NO5</t>
  </si>
  <si>
    <t>DK1-NO1</t>
  </si>
  <si>
    <t>DK1-NO4</t>
  </si>
  <si>
    <t>DK1-NO3</t>
  </si>
  <si>
    <t>DK1-SE2</t>
  </si>
  <si>
    <t>DK1-SE3</t>
  </si>
  <si>
    <t>SE4-NO2</t>
  </si>
  <si>
    <t>SE4-SE1</t>
  </si>
  <si>
    <t>SE4-DK2</t>
  </si>
  <si>
    <t>SE4-DK1</t>
  </si>
  <si>
    <t>SE4-NO5</t>
  </si>
  <si>
    <t>SE4-NO1</t>
  </si>
  <si>
    <t>SE4-NO4</t>
  </si>
  <si>
    <t>SE4-NO3</t>
  </si>
  <si>
    <t>SE4-SE2</t>
  </si>
  <si>
    <t>SE4-SE3</t>
  </si>
  <si>
    <t>SE3-NO2</t>
  </si>
  <si>
    <t>SE3-SE1</t>
  </si>
  <si>
    <t>SE3-DK2</t>
  </si>
  <si>
    <t>SE3-SE4</t>
  </si>
  <si>
    <t>SE3-DK1</t>
  </si>
  <si>
    <t>SE3-NO5</t>
  </si>
  <si>
    <t>SE3-NO1</t>
  </si>
  <si>
    <t>SE3-NO4</t>
  </si>
  <si>
    <t>SE3-NO3</t>
  </si>
  <si>
    <t>SE3-SE2</t>
  </si>
  <si>
    <t>SE2-NO2</t>
  </si>
  <si>
    <t>SE2-SE1</t>
  </si>
  <si>
    <t>SE2-DK2</t>
  </si>
  <si>
    <t>SE2-SE4</t>
  </si>
  <si>
    <t>SE2-DK1</t>
  </si>
  <si>
    <t>SE2-NO5</t>
  </si>
  <si>
    <t>SE2-NO1</t>
  </si>
  <si>
    <t>SE2-NO4</t>
  </si>
  <si>
    <t>SE2-NO3</t>
  </si>
  <si>
    <t>SE2-SE3</t>
  </si>
  <si>
    <t>SE1-NO2</t>
  </si>
  <si>
    <t>SE1-DK2</t>
  </si>
  <si>
    <t>SE1-SE4</t>
  </si>
  <si>
    <t>SE1-DK1</t>
  </si>
  <si>
    <t>SE1-NO5</t>
  </si>
  <si>
    <t>SE1-NO1</t>
  </si>
  <si>
    <t>SE1-NO4</t>
  </si>
  <si>
    <t>SE1-NO3</t>
  </si>
  <si>
    <t>SE1-SE2</t>
  </si>
  <si>
    <t>SE1-SE3</t>
  </si>
  <si>
    <t>NO2-SE1</t>
  </si>
  <si>
    <t>NO2-DK2</t>
  </si>
  <si>
    <t>NO2-SE4</t>
  </si>
  <si>
    <t>NO2-DK1</t>
  </si>
  <si>
    <t>NO2-NO5</t>
  </si>
  <si>
    <t>NO2-NO1</t>
  </si>
  <si>
    <t>NO2-NO4</t>
  </si>
  <si>
    <t>NO2-NO3</t>
  </si>
  <si>
    <t>NO2-SE2</t>
  </si>
  <si>
    <t>NO2-SE3</t>
  </si>
  <si>
    <t>NO1-NO2</t>
  </si>
  <si>
    <t>NO1-SE1</t>
  </si>
  <si>
    <t>NO1-DK2</t>
  </si>
  <si>
    <t>NO1-SE4</t>
  </si>
  <si>
    <t>NO1-DK1</t>
  </si>
  <si>
    <t>NO1-NO5</t>
  </si>
  <si>
    <t>NO1-NO4</t>
  </si>
  <si>
    <t>NO1-NO3</t>
  </si>
  <si>
    <t>NO1-SE2</t>
  </si>
  <si>
    <t>NO1-SE3</t>
  </si>
  <si>
    <t>NO5-NO2</t>
  </si>
  <si>
    <t>NO5-SE1</t>
  </si>
  <si>
    <t>NO5-DK2</t>
  </si>
  <si>
    <t>NO5-SE4</t>
  </si>
  <si>
    <t>NO5-DK1</t>
  </si>
  <si>
    <t>NO5-NO1</t>
  </si>
  <si>
    <t>NO5-NO4</t>
  </si>
  <si>
    <t>NO5-NO3</t>
  </si>
  <si>
    <t>NO5-SE2</t>
  </si>
  <si>
    <t>NO5-SE3</t>
  </si>
  <si>
    <t>NO3-NO2</t>
  </si>
  <si>
    <t>NO3-SE1</t>
  </si>
  <si>
    <t>NO3-DK2</t>
  </si>
  <si>
    <t>NO3-SE4</t>
  </si>
  <si>
    <t>NO3-DK1</t>
  </si>
  <si>
    <t>NO3-NO5</t>
  </si>
  <si>
    <t>NO3-NO1</t>
  </si>
  <si>
    <t>NO3-NO4</t>
  </si>
  <si>
    <t>NO3-SE2</t>
  </si>
  <si>
    <t>NO3-SE3</t>
  </si>
  <si>
    <t>NO4-NO2</t>
  </si>
  <si>
    <t>NO4-SE1</t>
  </si>
  <si>
    <t>NO4-DK2</t>
  </si>
  <si>
    <t>NO4-SE4</t>
  </si>
  <si>
    <t>NO4-DK1</t>
  </si>
  <si>
    <t>NO4-NO5</t>
  </si>
  <si>
    <t>NO4-NO1</t>
  </si>
  <si>
    <t>NO4-NO3</t>
  </si>
  <si>
    <t>NO4-SE2</t>
  </si>
  <si>
    <t>NO4-SE3</t>
  </si>
  <si>
    <t>cost for spine (€15/MWh)</t>
  </si>
  <si>
    <t>inv. Cost €15</t>
  </si>
  <si>
    <t>vo&amp;m €15/MWh</t>
  </si>
  <si>
    <t>vo&amp;m €15/MWh, scaled to 4 weeks</t>
  </si>
  <si>
    <t>Intersection Areas</t>
  </si>
  <si>
    <t>NUTS 2</t>
  </si>
  <si>
    <t>"Wood 1" Total</t>
  </si>
  <si>
    <t>"Straw 1" Total</t>
  </si>
  <si>
    <t>Straw 1 total (MWh)</t>
  </si>
  <si>
    <t>Straw 1 total</t>
  </si>
  <si>
    <t>Straw 1 total (GJ)</t>
  </si>
  <si>
    <t>Wood 1 total (MWh)</t>
  </si>
  <si>
    <t>Wood 1 total (GJ)</t>
  </si>
  <si>
    <t>Ratios</t>
  </si>
  <si>
    <t>Wood 1 total</t>
  </si>
  <si>
    <t>Intersection Areas (NUTS2 and Nordpool)</t>
  </si>
  <si>
    <t>Straw 1 potentials (S2Biom)</t>
  </si>
  <si>
    <t>Wood 1 potentials (S2Biom)</t>
  </si>
  <si>
    <t>NFSM Harvest and Production (Jåstad)</t>
  </si>
  <si>
    <t>Harvest</t>
  </si>
  <si>
    <t>1000 m3</t>
  </si>
  <si>
    <t>SpruceSaw</t>
  </si>
  <si>
    <t>SprucePulp</t>
  </si>
  <si>
    <t>PineSaw</t>
  </si>
  <si>
    <t>PinePulp</t>
  </si>
  <si>
    <t>NonConSaw</t>
  </si>
  <si>
    <t>NonConPulp</t>
  </si>
  <si>
    <t>N1</t>
  </si>
  <si>
    <t>N2</t>
  </si>
  <si>
    <t>N3</t>
  </si>
  <si>
    <t>N4</t>
  </si>
  <si>
    <t>N5</t>
  </si>
  <si>
    <t>N6</t>
  </si>
  <si>
    <t>N7</t>
  </si>
  <si>
    <t>N8</t>
  </si>
  <si>
    <t>N9</t>
  </si>
  <si>
    <t>N10</t>
  </si>
  <si>
    <t>Key</t>
  </si>
  <si>
    <t>Sum</t>
  </si>
  <si>
    <t>NER Potentials</t>
  </si>
  <si>
    <t>Type</t>
  </si>
  <si>
    <t>Current (GWh)</t>
  </si>
  <si>
    <t>Future (GWh)</t>
  </si>
  <si>
    <t>Current, Future</t>
  </si>
  <si>
    <t>Wood 2 (MWh)</t>
  </si>
  <si>
    <t>NFSM</t>
  </si>
  <si>
    <t>Nordpool</t>
  </si>
  <si>
    <t>Lifetime:</t>
  </si>
  <si>
    <t>50 years</t>
  </si>
  <si>
    <t>source: https://arkiv.dgc.dk/sites/default/files/filer/publikationer/C1703_IGRC2017_iskov.pdf</t>
  </si>
  <si>
    <t>Cash Flow</t>
  </si>
  <si>
    <t>Disc CF</t>
  </si>
  <si>
    <t>Ann. CF</t>
  </si>
  <si>
    <t>Ann. CF disc</t>
  </si>
  <si>
    <t>TRAN_H2_ConvPipe_DK2-SE4</t>
  </si>
  <si>
    <t>TRAN_H2_NewPipe_DK2-DK1</t>
  </si>
  <si>
    <t>GENERIC NEW PIPE</t>
  </si>
  <si>
    <t>GENERIC CONV PIPE</t>
  </si>
  <si>
    <t>Length</t>
  </si>
  <si>
    <t>ASSUMPTIONS:</t>
  </si>
  <si>
    <t>Fixed costs</t>
  </si>
  <si>
    <t>Med</t>
  </si>
  <si>
    <t>M€/km</t>
  </si>
  <si>
    <t>CAPEX, new</t>
  </si>
  <si>
    <t>CAPEX, con</t>
  </si>
  <si>
    <t>New</t>
  </si>
  <si>
    <t>Conv</t>
  </si>
  <si>
    <t>inch</t>
  </si>
  <si>
    <t>&lt;28</t>
  </si>
  <si>
    <t>28-37</t>
  </si>
  <si>
    <t>&gt;37</t>
  </si>
  <si>
    <t>GW</t>
  </si>
  <si>
    <t>k€/km/GW</t>
  </si>
  <si>
    <t>20-48</t>
  </si>
  <si>
    <t>1.2-13</t>
  </si>
  <si>
    <t>Averaging</t>
  </si>
  <si>
    <t>Choice</t>
  </si>
  <si>
    <t>id</t>
  </si>
  <si>
    <t>Option</t>
  </si>
  <si>
    <t>Name</t>
  </si>
  <si>
    <t>Conversion</t>
  </si>
  <si>
    <t>length_2</t>
  </si>
  <si>
    <t>from qgis/infrastructure, using "Elliptical" add geometrical features</t>
  </si>
  <si>
    <t>low</t>
  </si>
  <si>
    <t>high</t>
  </si>
  <si>
    <t>Consider not averaging, depending on capacity results</t>
  </si>
  <si>
    <t>connection_investment_cost</t>
  </si>
  <si>
    <t>Base</t>
  </si>
  <si>
    <t>connection__to_node</t>
  </si>
  <si>
    <t>connection_capacity</t>
  </si>
  <si>
    <t>€/km/GW</t>
  </si>
  <si>
    <t>€/yr/km/GW</t>
  </si>
  <si>
    <t>TIME</t>
  </si>
  <si>
    <t>:</t>
  </si>
  <si>
    <t>€ (ind=15)</t>
  </si>
  <si>
    <t>European Union - 27 countries (from 2020)</t>
  </si>
  <si>
    <t>€ (ind=20)</t>
  </si>
  <si>
    <t>€15/€20</t>
  </si>
  <si>
    <t>connection</t>
  </si>
  <si>
    <t>"Wood 2" Total</t>
  </si>
  <si>
    <t>Wood 2 potentials (S2Biom)</t>
  </si>
  <si>
    <t>Wood 1 (MWh)</t>
  </si>
  <si>
    <t>Straw 1 (MWh)</t>
  </si>
  <si>
    <t>Baseline</t>
  </si>
  <si>
    <t>Biomass data</t>
  </si>
  <si>
    <t>S2Biom categorisations</t>
  </si>
  <si>
    <t>SE Sum</t>
  </si>
  <si>
    <t>NO Sum</t>
  </si>
  <si>
    <t>DK Sum</t>
  </si>
  <si>
    <t>Residual biomass potential</t>
  </si>
  <si>
    <t>Transport Costs</t>
  </si>
  <si>
    <t>Biomass Type costs</t>
  </si>
  <si>
    <t>[1] JRC EU Report</t>
  </si>
  <si>
    <t>[2] Modelling of renewable gases… bramstoft 2020</t>
  </si>
  <si>
    <t>Straw</t>
  </si>
  <si>
    <t>Wood</t>
  </si>
  <si>
    <t>€15/MWh</t>
  </si>
  <si>
    <t>€15/GJ</t>
  </si>
  <si>
    <t>average of wood pellets and chips</t>
  </si>
  <si>
    <t>Imported wood</t>
  </si>
  <si>
    <t>For Spine:</t>
  </si>
  <si>
    <t>for 4 weeks</t>
  </si>
  <si>
    <t>difference between wood and imported wood</t>
  </si>
  <si>
    <t>x2.5</t>
  </si>
  <si>
    <t>x5.0</t>
  </si>
  <si>
    <t>€19/GJ</t>
  </si>
  <si>
    <t>€ (ind=19)</t>
  </si>
  <si>
    <t>Drom MarE-Fuel:</t>
  </si>
  <si>
    <t>TRAN_Jetfuel_DK1-DK2</t>
  </si>
  <si>
    <t>TRAN_Jetfuel_DK1-NO2</t>
  </si>
  <si>
    <t>TRAN_Jetfuel_DK2-NO1</t>
  </si>
  <si>
    <t>TRAN_Jetfuel_DK2-SE4</t>
  </si>
  <si>
    <t>TRAN_Jetfuel_NO1-NO3</t>
  </si>
  <si>
    <t>TRAN_Jetfuel_NO1-NO5</t>
  </si>
  <si>
    <t>TRAN_Jetfuel_NO2-NO1</t>
  </si>
  <si>
    <t>TRAN_Jetfuel_NO2-NO5</t>
  </si>
  <si>
    <t>TRAN_Jetfuel_NO3-NO4</t>
  </si>
  <si>
    <t>TRAN_Jetfuel_NO5-NO3</t>
  </si>
  <si>
    <t>TRAN_Jetfuel_SE1-NO4</t>
  </si>
  <si>
    <t>TRAN_Jetfuel_SE2-NO3</t>
  </si>
  <si>
    <t>TRAN_Jetfuel_SE2-SE1</t>
  </si>
  <si>
    <t>TRAN_Jetfuel_SE3-NO1</t>
  </si>
  <si>
    <t>TRAN_Jetfuel_SE3-SE2</t>
  </si>
  <si>
    <t>TRAN_Jetfuel_SE4-SE3</t>
  </si>
  <si>
    <t>Costs for Spine (M€/MWh)</t>
  </si>
  <si>
    <t>Costs for Spine scaled (M€/MWh)</t>
  </si>
  <si>
    <t>connection_flow_cost</t>
  </si>
  <si>
    <t>TRAN_Road_DK1-DK2</t>
  </si>
  <si>
    <t>TRAN_Road_DK1-NO2</t>
  </si>
  <si>
    <t>TRAN_Road_DK2-NO1</t>
  </si>
  <si>
    <t>TRAN_Road_DK2-SE4</t>
  </si>
  <si>
    <t>TRAN_Road_NO1-NO3</t>
  </si>
  <si>
    <t>TRAN_Road_NO1-NO5</t>
  </si>
  <si>
    <t>TRAN_Road_NO2-NO1</t>
  </si>
  <si>
    <t>TRAN_Road_NO2-NO5</t>
  </si>
  <si>
    <t>TRAN_Road_NO3-NO4</t>
  </si>
  <si>
    <t>TRAN_Road_NO5-NO3</t>
  </si>
  <si>
    <t>TRAN_Road_SE1-NO4</t>
  </si>
  <si>
    <t>TRAN_Road_SE2-NO3</t>
  </si>
  <si>
    <t>TRAN_Road_SE2-SE1</t>
  </si>
  <si>
    <t>TRAN_Road_SE3-NO1</t>
  </si>
  <si>
    <t>TRAN_Road_SE3-SE2</t>
  </si>
  <si>
    <t>TRAN_Road_SE4-SE3</t>
  </si>
  <si>
    <t>TRAN_Shipping_DK1-DK2</t>
  </si>
  <si>
    <t>TRAN_Shipping_DK1-NO2</t>
  </si>
  <si>
    <t>TRAN_Shipping_DK2-NO1</t>
  </si>
  <si>
    <t>TRAN_Shipping_DK2-SE4</t>
  </si>
  <si>
    <t>TRAN_Shipping_NO1-NO3</t>
  </si>
  <si>
    <t>TRAN_Shipping_NO1-NO5</t>
  </si>
  <si>
    <t>TRAN_Shipping_NO2-NO1</t>
  </si>
  <si>
    <t>TRAN_Shipping_NO2-NO5</t>
  </si>
  <si>
    <t>TRAN_Shipping_NO3-NO4</t>
  </si>
  <si>
    <t>TRAN_Shipping_NO5-NO3</t>
  </si>
  <si>
    <t>TRAN_Shipping_SE1-NO4</t>
  </si>
  <si>
    <t>TRAN_Shipping_SE2-NO3</t>
  </si>
  <si>
    <t>TRAN_Shipping_SE2-SE1</t>
  </si>
  <si>
    <t>TRAN_Shipping_SE3-NO1</t>
  </si>
  <si>
    <t>TRAN_Shipping_SE3-SE2</t>
  </si>
  <si>
    <t>TRAN_Shipping_SE4-SE3</t>
  </si>
  <si>
    <t>VARIABLE COSTS</t>
  </si>
  <si>
    <t>INV COSTS</t>
  </si>
  <si>
    <t>Truck Amounts</t>
  </si>
  <si>
    <t>connection_investment_variable_type</t>
  </si>
  <si>
    <t>variable_type_continuous::</t>
  </si>
  <si>
    <t>candidate_connections</t>
  </si>
  <si>
    <t>Infinity::</t>
  </si>
  <si>
    <t>1::</t>
  </si>
  <si>
    <t>DataInput</t>
  </si>
  <si>
    <t>TRAN_Road_DK2-SE4,DK2_Road</t>
  </si>
  <si>
    <t>TRAN_Road_DK2-SE4,SE4_Road</t>
  </si>
  <si>
    <t>TRAN_Road_NO1-NO3,NO1_Road</t>
  </si>
  <si>
    <t>TRAN_Road_NO1-NO3,NO3_Road</t>
  </si>
  <si>
    <t>TRAN_Road_NO1-NO5,NO1_Road</t>
  </si>
  <si>
    <t>TRAN_Road_NO1-NO5,NO5_Road</t>
  </si>
  <si>
    <t>TRAN_Road_SE1-NO4,NO4_Road</t>
  </si>
  <si>
    <t>TRAN_Road_SE1-NO4,SE1_Road</t>
  </si>
  <si>
    <t>TRAN_Road_SE2-NO3,NO3_Road</t>
  </si>
  <si>
    <t>TRAN_Road_SE2-NO3,SE2_Road</t>
  </si>
  <si>
    <t>TRAN_Road_SE2-SE1,SE1_Road</t>
  </si>
  <si>
    <t>TRAN_Road_SE2-SE1,SE2_Road</t>
  </si>
  <si>
    <t>TRAN_Road_SE3-NO1,NO1_Road</t>
  </si>
  <si>
    <t>TRAN_Road_SE3-NO1,SE3_Road</t>
  </si>
  <si>
    <t>TRAN_Road_SE3-SE2,SE2_Road</t>
  </si>
  <si>
    <t>TRAN_Road_SE3-SE2,SE3_Road</t>
  </si>
  <si>
    <t>TRAN_Road_SE4-SE3,SE3_Road</t>
  </si>
  <si>
    <t>TRAN_Road_SE4-SE3,SE4_Road</t>
  </si>
  <si>
    <t>TRAN_Road_NO5-NO3,NO5_Road</t>
  </si>
  <si>
    <t>TRAN_Road_DK2-NO1,DK2_Road</t>
  </si>
  <si>
    <t>TRAN_Road_NO2-NO5,NO2_Road</t>
  </si>
  <si>
    <t>TRAN_Road_NO5-NO3,NO3_Road</t>
  </si>
  <si>
    <t>TRAN_Road_DK1-DK2,DK2_Road</t>
  </si>
  <si>
    <t>TRAN_Road_NO2-NO1,NO1_Road</t>
  </si>
  <si>
    <t>TRAN_Road_NO3-NO4,NO4_Road</t>
  </si>
  <si>
    <t>TRAN_Road_DK1-DK2,DK1_Road</t>
  </si>
  <si>
    <t>TRAN_Road_DK1-NO2,DK1_Road</t>
  </si>
  <si>
    <t>TRAN_Road_DK1-NO2,NO2_Road</t>
  </si>
  <si>
    <t>TRAN_Road_NO2-NO5,NO5_Road</t>
  </si>
  <si>
    <t>TRAN_Road_DK2-NO1,NO1_Road</t>
  </si>
  <si>
    <t>TRAN_Road_NO3-NO4,NO3_Road</t>
  </si>
  <si>
    <t>TRAN_Road_NO2-NO1,NO2_Road</t>
  </si>
  <si>
    <t>TRAN_Shipping_SE1-NO4,NO4_Shipping</t>
  </si>
  <si>
    <t>TRAN_Shipping_DK2-SE4,SE4_Shipping</t>
  </si>
  <si>
    <t>TRAN_Shipping_SE4-SE3,SE4_Shipping</t>
  </si>
  <si>
    <t>TRAN_Shipping_SE2-SE1,SE2_Shipping</t>
  </si>
  <si>
    <t>TRAN_Shipping_NO5-NO3,NO5_Shipping</t>
  </si>
  <si>
    <t>TRAN_Shipping_DK2-NO1,DK2_Shipping</t>
  </si>
  <si>
    <t>TRAN_Shipping_SE3-SE2,SE3_Shipping</t>
  </si>
  <si>
    <t>TRAN_Shipping_SE2-NO3,SE2_Shipping</t>
  </si>
  <si>
    <t>TRAN_Shipping_NO2-NO5,NO2_Shipping</t>
  </si>
  <si>
    <t>TRAN_Shipping_SE3-SE2,SE2_Shipping</t>
  </si>
  <si>
    <t>TRAN_Shipping_NO1-NO5,NO1_Shipping</t>
  </si>
  <si>
    <t>TRAN_Shipping_NO1-NO5,NO5_Shipping</t>
  </si>
  <si>
    <t>TRAN_Shipping_NO5-NO3,NO3_Shipping</t>
  </si>
  <si>
    <t>TRAN_Shipping_SE3-NO1,SE3_Shipping</t>
  </si>
  <si>
    <t>TRAN_Shipping_DK1-DK2,DK2_Shipping</t>
  </si>
  <si>
    <t>TRAN_Shipping_SE2-NO3,NO3_Shipping</t>
  </si>
  <si>
    <t>TRAN_Shipping_NO2-NO1,NO1_Shipping</t>
  </si>
  <si>
    <t>TRAN_Shipping_NO3-NO4,NO4_Shipping</t>
  </si>
  <si>
    <t>TRAN_Shipping_DK1-DK2,DK1_Shipping</t>
  </si>
  <si>
    <t>TRAN_Shipping_DK2-SE4,DK2_Shipping</t>
  </si>
  <si>
    <t>TRAN_Shipping_SE4-SE3,SE3_Shipping</t>
  </si>
  <si>
    <t>TRAN_Shipping_NO1-NO3,NO1_Shipping</t>
  </si>
  <si>
    <t>TRAN_Shipping_SE3-NO1,NO1_Shipping</t>
  </si>
  <si>
    <t>TRAN_Shipping_DK1-NO2,DK1_Shipping</t>
  </si>
  <si>
    <t>TRAN_Shipping_NO1-NO3,NO3_Shipping</t>
  </si>
  <si>
    <t>TRAN_Shipping_DK1-NO2,NO2_Shipping</t>
  </si>
  <si>
    <t>TRAN_Shipping_SE2-SE1,SE1_Shipping</t>
  </si>
  <si>
    <t>TRAN_Shipping_NO2-NO5,NO5_Shipping</t>
  </si>
  <si>
    <t>TRAN_Shipping_DK2-NO1,NO1_Shipping</t>
  </si>
  <si>
    <t>TRAN_Shipping_NO3-NO4,NO3_Shipping</t>
  </si>
  <si>
    <t>TRAN_Shipping_NO2-NO1,NO2_Shipping</t>
  </si>
  <si>
    <t>TRAN_Shipping_SE1-NO4,SE1_Shipping</t>
  </si>
  <si>
    <t>TRAN_Jetfuel_SE1-NO4,NO4_Jetfuel</t>
  </si>
  <si>
    <t>TRAN_Jetfuel_DK2-SE4,SE4_Jetfuel</t>
  </si>
  <si>
    <t>TRAN_Jetfuel_SE4-SE3,SE4_Jetfuel</t>
  </si>
  <si>
    <t>TRAN_Jetfuel_SE2-SE1,SE2_Jetfuel</t>
  </si>
  <si>
    <t>TRAN_Jetfuel_NO5-NO3,NO5_Jetfuel</t>
  </si>
  <si>
    <t>TRAN_Jetfuel_DK2-NO1,DK2_Jetfuel</t>
  </si>
  <si>
    <t>TRAN_Jetfuel_SE3-SE2,SE3_Jetfuel</t>
  </si>
  <si>
    <t>TRAN_Jetfuel_SE2-NO3,SE2_Jetfuel</t>
  </si>
  <si>
    <t>TRAN_Jetfuel_NO2-NO5,NO2_Jetfuel</t>
  </si>
  <si>
    <t>TRAN_Jetfuel_SE3-SE2,SE2_Jetfuel</t>
  </si>
  <si>
    <t>TRAN_Jetfuel_NO1-NO5,NO1_Jetfuel</t>
  </si>
  <si>
    <t>TRAN_Jetfuel_NO1-NO5,NO5_Jetfuel</t>
  </si>
  <si>
    <t>TRAN_Jetfuel_NO5-NO3,NO3_Jetfuel</t>
  </si>
  <si>
    <t>TRAN_Jetfuel_SE3-NO1,SE3_Jetfuel</t>
  </si>
  <si>
    <t>TRAN_Jetfuel_DK1-DK2,DK2_Jetfuel</t>
  </si>
  <si>
    <t>TRAN_Jetfuel_SE2-NO3,NO3_Jetfuel</t>
  </si>
  <si>
    <t>TRAN_Jetfuel_NO2-NO1,NO1_Jetfuel</t>
  </si>
  <si>
    <t>TRAN_Jetfuel_NO3-NO4,NO4_Jetfuel</t>
  </si>
  <si>
    <t>TRAN_Jetfuel_DK1-DK2,DK1_Jetfuel</t>
  </si>
  <si>
    <t>TRAN_Jetfuel_DK2-SE4,DK2_Jetfuel</t>
  </si>
  <si>
    <t>TRAN_Jetfuel_SE4-SE3,SE3_Jetfuel</t>
  </si>
  <si>
    <t>TRAN_Jetfuel_NO1-NO3,NO1_Jetfuel</t>
  </si>
  <si>
    <t>TRAN_Jetfuel_SE3-NO1,NO1_Jetfuel</t>
  </si>
  <si>
    <t>TRAN_Jetfuel_DK1-NO2,DK1_Jetfuel</t>
  </si>
  <si>
    <t>TRAN_Jetfuel_NO1-NO3,NO3_Jetfuel</t>
  </si>
  <si>
    <t>TRAN_Jetfuel_DK1-NO2,NO2_Jetfuel</t>
  </si>
  <si>
    <t>TRAN_Jetfuel_SE2-SE1,SE1_Jetfuel</t>
  </si>
  <si>
    <t>TRAN_Jetfuel_NO2-NO5,NO5_Jetfuel</t>
  </si>
  <si>
    <t>TRAN_Jetfuel_DK2-NO1,NO1_Jetfuel</t>
  </si>
  <si>
    <t>TRAN_Jetfuel_NO3-NO4,NO3_Jetfuel</t>
  </si>
  <si>
    <t>TRAN_Jetfuel_NO2-NO1,NO2_Jetfuel</t>
  </si>
  <si>
    <t>TRAN_Jetfuel_SE1-NO4,SE1_Jetfuel</t>
  </si>
  <si>
    <t xml:space="preserve">density </t>
  </si>
  <si>
    <t xml:space="preserve">Source: </t>
  </si>
  <si>
    <t>Alternativ drivmiddelmodel (se mail fra Rasmus I Datamappen)</t>
  </si>
  <si>
    <t>Cost</t>
  </si>
  <si>
    <t>Loss</t>
  </si>
  <si>
    <t xml:space="preserve">Process </t>
  </si>
  <si>
    <t>CO2</t>
  </si>
  <si>
    <t>CH4</t>
  </si>
  <si>
    <t>N2O</t>
  </si>
  <si>
    <t>SO2</t>
  </si>
  <si>
    <t>NOx</t>
  </si>
  <si>
    <t>Partikler</t>
  </si>
  <si>
    <t>DKK/GJ</t>
  </si>
  <si>
    <t>GJ/GJ</t>
  </si>
  <si>
    <t>kg/GJ</t>
  </si>
  <si>
    <t>HVO</t>
  </si>
  <si>
    <t>Ingen</t>
  </si>
  <si>
    <t>1. g. ethanol E85</t>
  </si>
  <si>
    <t>2. g. ethanol E85</t>
  </si>
  <si>
    <t>Ethanol</t>
  </si>
  <si>
    <t>RME</t>
  </si>
  <si>
    <t>Bio-olie</t>
  </si>
  <si>
    <t>Naturgas raffinering</t>
  </si>
  <si>
    <t>MeOH</t>
  </si>
  <si>
    <t>Brint</t>
  </si>
  <si>
    <t>El i batteri</t>
  </si>
  <si>
    <t>DME</t>
  </si>
  <si>
    <t>Benzin</t>
  </si>
  <si>
    <t>HFO</t>
  </si>
  <si>
    <t>JP1</t>
  </si>
  <si>
    <t>El (AC-net) til elektrolyse</t>
  </si>
  <si>
    <t>El (AC-net) til ladestation</t>
  </si>
  <si>
    <t>Naturgas komprimering</t>
  </si>
  <si>
    <t>Syntesegas til katalysator</t>
  </si>
  <si>
    <t>LNG</t>
  </si>
  <si>
    <t>€/MWh</t>
  </si>
  <si>
    <t>=</t>
  </si>
  <si>
    <t>AEC</t>
  </si>
  <si>
    <t>DEA21</t>
  </si>
  <si>
    <t>0-100 cap</t>
  </si>
  <si>
    <t>s</t>
  </si>
  <si>
    <t>cap/s</t>
  </si>
  <si>
    <t>frac/s</t>
  </si>
  <si>
    <t>frac/h</t>
  </si>
  <si>
    <t>cap/h</t>
  </si>
  <si>
    <t>SOEC</t>
  </si>
  <si>
    <t>eMeOH</t>
  </si>
  <si>
    <t>TG-MeOH</t>
  </si>
  <si>
    <t>days</t>
  </si>
  <si>
    <t>frac/day</t>
  </si>
  <si>
    <t>TG-FT</t>
  </si>
  <si>
    <t>eFT</t>
  </si>
  <si>
    <t>eNH3</t>
  </si>
  <si>
    <t>&lt;- Input for ramp_down_limit and ramp_up_limit</t>
  </si>
  <si>
    <t>unit__to_node	unita</t>
  </si>
  <si>
    <t>nodeA	minimum_operating_point	Base	0.17::</t>
  </si>
  <si>
    <t>unit	unita	shut_down_cost	Base	1000000000000.0::</t>
  </si>
  <si>
    <t>shut_down_cost</t>
  </si>
  <si>
    <t>minimum_operating_point</t>
  </si>
  <si>
    <t>&lt;- based on 5) above</t>
  </si>
  <si>
    <t>h</t>
  </si>
  <si>
    <t>&lt;- assuming hot standby</t>
  </si>
  <si>
    <t>cap/day</t>
  </si>
  <si>
    <t>Notes:</t>
  </si>
  <si>
    <t>[5] Nordic Energy Tech Catalogue</t>
  </si>
  <si>
    <t>CAPEX</t>
  </si>
  <si>
    <t>FOM</t>
  </si>
  <si>
    <t>VOM</t>
  </si>
  <si>
    <t>HTL</t>
  </si>
  <si>
    <t>Both [1] and [5] are VERY similar in all these params</t>
  </si>
  <si>
    <t>Assumption:</t>
  </si>
  <si>
    <t>Pyrolysis</t>
  </si>
  <si>
    <t>Motor teknologier</t>
  </si>
  <si>
    <t>Spor-koder</t>
  </si>
  <si>
    <t>Jet Fuel</t>
  </si>
  <si>
    <t>Heavy Fuel Oil</t>
  </si>
  <si>
    <t>CNG</t>
  </si>
  <si>
    <t>Ethanol-hvede</t>
  </si>
  <si>
    <t>Ethanol-halm</t>
  </si>
  <si>
    <t>MeOH-træ</t>
  </si>
  <si>
    <t>MeOH-ETL</t>
  </si>
  <si>
    <t>2G Biodiesel</t>
  </si>
  <si>
    <t>Biogas - ENS</t>
  </si>
  <si>
    <t>El</t>
  </si>
  <si>
    <t>El-hybrid</t>
  </si>
  <si>
    <t>El Tog</t>
  </si>
  <si>
    <t>Bio Jet Fuel</t>
  </si>
  <si>
    <t>Ethanol-sukkerroer</t>
  </si>
  <si>
    <t>TK RME</t>
  </si>
  <si>
    <t>TK UCOME</t>
  </si>
  <si>
    <t>TK HVO</t>
  </si>
  <si>
    <t>TK HVO jet</t>
  </si>
  <si>
    <t>TK 1.g. eth</t>
  </si>
  <si>
    <t>TK 2.g. eth</t>
  </si>
  <si>
    <t>TK diesel &amp; jet f. gasif.</t>
  </si>
  <si>
    <t>TK meth f. gasif.</t>
  </si>
  <si>
    <t>TK SNG</t>
  </si>
  <si>
    <t>TK hydrothermal</t>
  </si>
  <si>
    <t>TK meth f. CO2</t>
  </si>
  <si>
    <t>L-CBG</t>
  </si>
  <si>
    <t>Tailpipe emissions</t>
  </si>
  <si>
    <t>Gasoline</t>
  </si>
  <si>
    <t>JetA1</t>
  </si>
  <si>
    <t>Natural gas</t>
  </si>
  <si>
    <t>Bio ethanol</t>
  </si>
  <si>
    <t>Bio methanol</t>
  </si>
  <si>
    <t>Electricity</t>
  </si>
  <si>
    <t>Bio diesel</t>
  </si>
  <si>
    <t>Biomass</t>
  </si>
  <si>
    <t>Bio Jetfuel</t>
  </si>
  <si>
    <t>Råstof input i råstofkonvertering (opslag i "Basic data" ark)</t>
  </si>
  <si>
    <t>råolie</t>
  </si>
  <si>
    <t>Råolie</t>
  </si>
  <si>
    <t>naturgas</t>
  </si>
  <si>
    <t>hvede</t>
  </si>
  <si>
    <t>halm</t>
  </si>
  <si>
    <t>træ</t>
  </si>
  <si>
    <t>Elektricitet</t>
  </si>
  <si>
    <t>Biomasse</t>
  </si>
  <si>
    <t>Halm</t>
  </si>
  <si>
    <t>Rapsfrø</t>
  </si>
  <si>
    <t>Sugarbeets</t>
  </si>
  <si>
    <t>Rapsolie</t>
  </si>
  <si>
    <t>UCO</t>
  </si>
  <si>
    <t>Hvede</t>
  </si>
  <si>
    <t>Træ</t>
  </si>
  <si>
    <t>Hydrogen</t>
  </si>
  <si>
    <t>Oplade-el-brændsel</t>
  </si>
  <si>
    <t>Transport/distribution af mellemprodukt (opslag i "Basic data" ark)</t>
  </si>
  <si>
    <t>Transport/distribution af drivmiddel  (opslag i "Basic data" ark)</t>
  </si>
  <si>
    <t>Teknologi, råstofkonvertering ("PC" ark)</t>
  </si>
  <si>
    <t>PC Diesel</t>
  </si>
  <si>
    <t>PC Benzin</t>
  </si>
  <si>
    <t>PC Jet Fuel</t>
  </si>
  <si>
    <t>PC HFO</t>
  </si>
  <si>
    <t>PC Naturgas raffinering</t>
  </si>
  <si>
    <t>PC (FORCE 3) 1G ethanol</t>
  </si>
  <si>
    <t>PC (FORCE 4) 2G ethanol</t>
  </si>
  <si>
    <t>PC (FORCE 1) Bio-Methanol</t>
  </si>
  <si>
    <t>PC brint-elektricitet</t>
  </si>
  <si>
    <t>PC (FORCE 7) 2G diesel</t>
  </si>
  <si>
    <t xml:space="preserve">PC (FORCE 9) Bio-DME </t>
  </si>
  <si>
    <t>PC Biogas ENS</t>
  </si>
  <si>
    <t>PC oplade-elektricitet</t>
  </si>
  <si>
    <t>PC (FORCE 18) Bio Jetfuel</t>
  </si>
  <si>
    <t>PC (FORCE 19) RME Rapeseed</t>
  </si>
  <si>
    <t>PC (FORCE 20) Ethanol SugarBeet</t>
  </si>
  <si>
    <t>PC (FORCE 6) 1G HVO DIESEL</t>
  </si>
  <si>
    <t>PC tekkat FAME</t>
  </si>
  <si>
    <t>PC tek kat UCO</t>
  </si>
  <si>
    <t>PC tek kat HVO</t>
  </si>
  <si>
    <t>PC Tek Kat HVO Jet</t>
  </si>
  <si>
    <t>PC tek kat 1.g. eth</t>
  </si>
  <si>
    <t>PC tek kat 2.g. eth</t>
  </si>
  <si>
    <t>PC tek kat dies &amp; jet f. gasif</t>
  </si>
  <si>
    <t>PC tek kat meth f. gasification</t>
  </si>
  <si>
    <t>PC tek kat SNG</t>
  </si>
  <si>
    <t>Pc tek kat hydrothermal</t>
  </si>
  <si>
    <t>PC tek kat meth f. power</t>
  </si>
  <si>
    <t>Teknologi, mellemproduktkonvertering ("IC" ark)</t>
  </si>
  <si>
    <t>IC Naturgas komprimering</t>
  </si>
  <si>
    <t>IC LNG</t>
  </si>
  <si>
    <t>IC (FORCE 2) ETL-Methanol</t>
  </si>
  <si>
    <t>IC Elektrolyse og komprimering</t>
  </si>
  <si>
    <t>IC Ladestation</t>
  </si>
  <si>
    <t>IC Ladestation Hybrid</t>
  </si>
  <si>
    <t>IC tog-elektricitet</t>
  </si>
  <si>
    <t>IC Importspor</t>
  </si>
  <si>
    <t xml:space="preserve">Emissioner i alt ab råstofkonvertering (proces + opstrøm emissioner fra råstof + korrektion for biprodukter)  </t>
  </si>
  <si>
    <t>kg/GJ råstof</t>
  </si>
  <si>
    <t>kg/GJ mellemprodukt</t>
  </si>
  <si>
    <t>[1] Alternativ drivmiddelmodel (se mail fra Rasmus I Datamappen)</t>
  </si>
  <si>
    <t>[2] Nicolas data fra MarE-Fuel</t>
  </si>
  <si>
    <t>Power technologies</t>
  </si>
  <si>
    <t>[6] Nami, H., Butera, G., Campion, N., Frandsen, H. L., &amp; Hendriksen, P. V. (2021). MarE-fuel: Energy efficiencies in synthesising green fuels and their expected cost.</t>
  </si>
  <si>
    <t>General</t>
  </si>
  <si>
    <t>[6] projects a MUCH higher biomass cost, leading to ~50 €/GJ in 2050, compared to 25 €/GJ as computed with [1]</t>
  </si>
  <si>
    <t>[7] Lester 21</t>
  </si>
  <si>
    <t>Jet tuned in [7], diesel tuned in [1] - use [1] with info on jet tuning</t>
  </si>
  <si>
    <t>[1] https://www.claverton-energy.com/wordpress/wp-content/uploads/2012/08/the_energy_and_fuel_data_sheet1.pdf</t>
  </si>
  <si>
    <t>[2] https://www.engineeringtoolbox.com/fuels-higher-calorific-values-d_169.html</t>
  </si>
  <si>
    <t>Making jet tuning</t>
  </si>
  <si>
    <t>Gas oil mode</t>
  </si>
  <si>
    <t>[3], assuming gas oil = 100% gasoline in kerosene mode</t>
  </si>
  <si>
    <t>Kerosene mode</t>
  </si>
  <si>
    <t>Naptha/tops</t>
  </si>
  <si>
    <t>Gas oil</t>
  </si>
  <si>
    <t>A reasonable distribution of the FT fuels might be 60% jet fuel, 20% gasoline, and 20% lighter products (LPG and fuel gas), but the distribution of outputs could be very different depending on the plant design, catalyst and the operating conditions.</t>
  </si>
  <si>
    <t>wt%</t>
  </si>
  <si>
    <t>Energy%</t>
  </si>
  <si>
    <t>Diesel/gasoline</t>
  </si>
  <si>
    <t>[4] DEA 21, renewable fuels nr. 102 (PtJet)</t>
  </si>
  <si>
    <t>[3] DEA 21, renewable fuels nr. 85 (TG-FT)</t>
  </si>
  <si>
    <t>[5] Bramstoft 2020</t>
  </si>
  <si>
    <t>MWh/MWhbio</t>
  </si>
  <si>
    <t>[3] TG-FT liquid fuels output</t>
  </si>
  <si>
    <t>Liq. FT fuels</t>
  </si>
  <si>
    <t>Jet</t>
  </si>
  <si>
    <t>Wax</t>
  </si>
  <si>
    <t>MJ</t>
  </si>
  <si>
    <t>MJ tot</t>
  </si>
  <si>
    <t>Naphtha</t>
  </si>
  <si>
    <t>[1]+[2]+[6]</t>
  </si>
  <si>
    <t>[6] https://chemeng.queensu.ca/courses/CHEE332/files/ethanol_heating-values.pdf</t>
  </si>
  <si>
    <t>MWhKero/MWhbio</t>
  </si>
  <si>
    <t>MWhGaso/MWhbio</t>
  </si>
  <si>
    <t>[1] DEA 21, renewable fuels nr. 102 (PtJet)</t>
  </si>
  <si>
    <t>[4] https://chemeng.queensu.ca/courses/CHEE332/files/ethanol_heating-values.pdf</t>
  </si>
  <si>
    <t>[3] https://www.engineeringtoolbox.com/fuels-higher-calorific-values-d_169.html</t>
  </si>
  <si>
    <t>[2] https://www.claverton-energy.com/wordpress/wp-content/uploads/2012/08/the_energy_and_fuel_data_sheet1.pdf</t>
  </si>
  <si>
    <t>[2]+[3]+[4]</t>
  </si>
  <si>
    <t>CO2 input</t>
  </si>
  <si>
    <t>t/t FT liquid</t>
  </si>
  <si>
    <t>t/MWh FT liquid</t>
  </si>
  <si>
    <t>t/MWh Kerosene</t>
  </si>
  <si>
    <t>MJ/MJfuels</t>
  </si>
  <si>
    <t>GWh</t>
  </si>
  <si>
    <t>€ (ind=21)</t>
  </si>
  <si>
    <t>DK (ind=21)</t>
  </si>
  <si>
    <t>MWh/MWhtotinput</t>
  </si>
  <si>
    <t>Import for spine</t>
  </si>
  <si>
    <t xml:space="preserve">Sources: </t>
  </si>
  <si>
    <t>https://www.cement-co2-protocol.org/v3/Content/Internet_Manual/constants.htm</t>
  </si>
  <si>
    <t>https://www.epa.gov/sites/default/files/2015-07/documents/emission-factors_2014.pdf</t>
  </si>
  <si>
    <t>Jet fuel</t>
  </si>
  <si>
    <t>kg/mmBtu</t>
  </si>
  <si>
    <t>Heavy fuel</t>
  </si>
  <si>
    <t>Diesel oil</t>
  </si>
  <si>
    <t>Tank-to-well?</t>
  </si>
  <si>
    <t>Emissions</t>
  </si>
  <si>
    <t>Prices</t>
  </si>
  <si>
    <t>TRAN_Jetfuel</t>
  </si>
  <si>
    <t>TRAN_Road</t>
  </si>
  <si>
    <t>TRAN_Shipping</t>
  </si>
  <si>
    <t>Capacity limit on transport - see 050422 - Transport (OneNote)</t>
  </si>
  <si>
    <t>Diesel transport (high energy density)</t>
  </si>
  <si>
    <t>Assumptions:</t>
  </si>
  <si>
    <t>50 m3 pr. truck</t>
  </si>
  <si>
    <t>500 MWh/truck</t>
  </si>
  <si>
    <t>2081 km truck traffic pr. year</t>
  </si>
  <si>
    <t>Domestic Lorry traffic 2019, Mkm</t>
  </si>
  <si>
    <t>Jet+Gas/jet</t>
  </si>
  <si>
    <t>Fuels/jet</t>
  </si>
  <si>
    <t>Jet+Gas/Jet</t>
  </si>
  <si>
    <t>920::</t>
  </si>
  <si>
    <t>TruckLimit</t>
  </si>
  <si>
    <t>Balmorel Input</t>
  </si>
  <si>
    <t>[1] https://cleanenergyscenarios.nordicenergy.org/tab2</t>
  </si>
  <si>
    <t>Wood biomass</t>
  </si>
  <si>
    <t>TWh</t>
  </si>
  <si>
    <t>Biomass utilised for PtX and biorefineries  in CNN, no bioimport scenario (CNN_Bio)</t>
  </si>
  <si>
    <t>Agricultural biomass (excl. manure)</t>
  </si>
  <si>
    <t>Incl. black liqour</t>
  </si>
  <si>
    <t>Biomass available for Balmorel</t>
  </si>
  <si>
    <t>Woodchips</t>
  </si>
  <si>
    <t>GJ</t>
  </si>
  <si>
    <t>Spine Input</t>
  </si>
  <si>
    <t>Balmorel Restricted 2030</t>
  </si>
  <si>
    <t>Balmorel Restricted 2050</t>
  </si>
  <si>
    <t>Balmorel Restricted 2040</t>
  </si>
  <si>
    <t>[1] NCEP</t>
  </si>
  <si>
    <t>DKE</t>
  </si>
  <si>
    <t>DKW</t>
  </si>
  <si>
    <t>Aviation Fuel Consumption</t>
  </si>
  <si>
    <t>Car Fuel Consumption</t>
  </si>
  <si>
    <t>Shipping Fuel Consumption</t>
  </si>
  <si>
    <t>Truck Fuel Consumption</t>
  </si>
  <si>
    <t>CNN Scenario, minus electricity</t>
  </si>
  <si>
    <t>Norwegian shares</t>
  </si>
  <si>
    <t>Jetfuel</t>
  </si>
  <si>
    <t>Shipping</t>
  </si>
  <si>
    <t>Road</t>
  </si>
  <si>
    <t>Demands for spine</t>
  </si>
  <si>
    <t>DK2_Shipping</t>
  </si>
  <si>
    <t>MWh/h</t>
  </si>
  <si>
    <t>DK1_Shipping</t>
  </si>
  <si>
    <t>DK2_Jetfuel</t>
  </si>
  <si>
    <t>DK1_Jetfuel</t>
  </si>
  <si>
    <t>DK2_Road</t>
  </si>
  <si>
    <t>DK1_Road</t>
  </si>
  <si>
    <t>SE1_Jetfuel</t>
  </si>
  <si>
    <t>SE2_Jetfuel</t>
  </si>
  <si>
    <t>SE3_Jetfuel</t>
  </si>
  <si>
    <t>SE4_Jetfuel</t>
  </si>
  <si>
    <t>SE1_Road</t>
  </si>
  <si>
    <t>SE2_Road</t>
  </si>
  <si>
    <t>SE3_Road</t>
  </si>
  <si>
    <t>SE4_Road</t>
  </si>
  <si>
    <t>SE1_Shipping</t>
  </si>
  <si>
    <t>SE2_Shipping</t>
  </si>
  <si>
    <t>SE3_Shipping</t>
  </si>
  <si>
    <t>SE4_Shipping</t>
  </si>
  <si>
    <t>NO1_Shipping</t>
  </si>
  <si>
    <t>NO2_Shipping</t>
  </si>
  <si>
    <t>NO3_Shipping</t>
  </si>
  <si>
    <t>NO4_Shipping</t>
  </si>
  <si>
    <t>NO5_Shipping</t>
  </si>
  <si>
    <t>NO1_Jetfuel</t>
  </si>
  <si>
    <t>NO2_Jetfuel</t>
  </si>
  <si>
    <t>NO3_Jetfuel</t>
  </si>
  <si>
    <t>NO4_Jetfuel</t>
  </si>
  <si>
    <t>NO5_Jetfuel</t>
  </si>
  <si>
    <t>NO1_Road</t>
  </si>
  <si>
    <t>NO2_Road</t>
  </si>
  <si>
    <t>NO3_Road</t>
  </si>
  <si>
    <t>NO4_Road</t>
  </si>
  <si>
    <t>NO5_Road</t>
  </si>
  <si>
    <t>of</t>
  </si>
  <si>
    <t>share</t>
  </si>
  <si>
    <t>Results 10/04/2022</t>
  </si>
  <si>
    <t>NO2-NS</t>
  </si>
  <si>
    <t>NS-GER2</t>
  </si>
  <si>
    <t>DK1-GER1</t>
  </si>
  <si>
    <t>length_2 (m)</t>
  </si>
  <si>
    <t>DK1-NS</t>
  </si>
  <si>
    <t>price pr. GW</t>
  </si>
  <si>
    <t>price pr. 3600 MW (€20)</t>
  </si>
  <si>
    <t>Biomass used in Balmorel - BASE 10/04/2022 14:23</t>
  </si>
  <si>
    <t>R</t>
  </si>
  <si>
    <t>SC</t>
  </si>
  <si>
    <t>Val</t>
  </si>
  <si>
    <t>Unit</t>
  </si>
  <si>
    <t>Val (TWh)</t>
  </si>
  <si>
    <t>fid</t>
  </si>
  <si>
    <t>HAR JEG IKKE</t>
  </si>
  <si>
    <t>LPG</t>
  </si>
  <si>
    <t>LowBioPot 2030</t>
  </si>
  <si>
    <t>LowBioPot 2040</t>
  </si>
  <si>
    <t>LowBioPot 2050</t>
  </si>
  <si>
    <t>Scenario for Demand Calculation</t>
  </si>
  <si>
    <t>Description</t>
  </si>
  <si>
    <t>Electricity fuel demand has been timed by 0.9 and divided by ICE assumed efficiency of 0.35 (high efficiency for large vehicle!) to get new jet fuel fuel demands</t>
  </si>
  <si>
    <t>CNN Scenario, minus electricity (except for jet fuel)</t>
  </si>
  <si>
    <t>H2 Backbone 02/05/22</t>
  </si>
  <si>
    <t>Included in Spine?</t>
  </si>
  <si>
    <t>No</t>
  </si>
  <si>
    <t>NO3-NS</t>
  </si>
  <si>
    <t>NS1-GER</t>
  </si>
  <si>
    <t>NS1-NO5</t>
  </si>
  <si>
    <t>NS1-NO2</t>
  </si>
  <si>
    <t>DK1-NS2</t>
  </si>
  <si>
    <t>NS-HUB</t>
  </si>
  <si>
    <t>DK1a</t>
  </si>
  <si>
    <t>DK1b</t>
  </si>
  <si>
    <t>DK1c</t>
  </si>
  <si>
    <t>DK1d</t>
  </si>
  <si>
    <t>DK1e</t>
  </si>
  <si>
    <t>DK1-GER2</t>
  </si>
  <si>
    <t>DK1-DK2a</t>
  </si>
  <si>
    <t>DK2-GDANSK</t>
  </si>
  <si>
    <t>DK2-GER2</t>
  </si>
  <si>
    <t>SE3a</t>
  </si>
  <si>
    <t>SE1a</t>
  </si>
  <si>
    <t>SE2-FIN</t>
  </si>
  <si>
    <t>SE3-FIN</t>
  </si>
  <si>
    <t>NS1-UK</t>
  </si>
  <si>
    <t>length (m)</t>
  </si>
  <si>
    <t>length (km)</t>
  </si>
  <si>
    <t>medium</t>
  </si>
  <si>
    <t>Med2</t>
  </si>
  <si>
    <t>cost /GW</t>
  </si>
  <si>
    <t>MWh/t</t>
  </si>
  <si>
    <t>For Spine</t>
  </si>
  <si>
    <t>TRAN_H2_ConvPipe_DK1-EU,EU_H2</t>
  </si>
  <si>
    <t>TRAN_H2_NewPipe_DK2-EU,EU_H2</t>
  </si>
  <si>
    <t>TRAN_H2_ConvPipe_DK2-DK1,DK1_H2</t>
  </si>
  <si>
    <t>TRAN_H2_NewPipe_DK2-SE4,SE4_H2</t>
  </si>
  <si>
    <t>TRAN_H2_ConvPipe_DK1-SE3,SE3_H2</t>
  </si>
  <si>
    <t>TRAN_H2_NewPipe_SE4-SE3,SE3_H2</t>
  </si>
  <si>
    <t>TRAN_H2_NewPipe_SE3-SE2,SE2_H2</t>
  </si>
  <si>
    <t>TRAN_H2_NewPipe_SE2-SE1,SE1_H2</t>
  </si>
  <si>
    <t>TRAN_H2_ConvPipe_NO2-NS,NS_H2</t>
  </si>
  <si>
    <t>TRAN_H2_ConvPipe_NO3-NS,NS_H2</t>
  </si>
  <si>
    <t>TRAN_H2_ConvPipe_NO5-NS,NS_H2</t>
  </si>
  <si>
    <t>TRAN_H2_ConvPipe_NS-EU,EU_H2</t>
  </si>
  <si>
    <t>TRAN_H2_NewPipe_SE3-EU,EU_H2</t>
  </si>
  <si>
    <t>TRAN_H2_NewPipe_SE2-EU,EU_H2</t>
  </si>
  <si>
    <t>inv cost (€/MW)</t>
  </si>
  <si>
    <t>capacity (MW)</t>
  </si>
  <si>
    <t>TRAN_H2_ConvPipe_DK1-EU</t>
  </si>
  <si>
    <t>TRAN_H2_NewPipe_DK2-EU</t>
  </si>
  <si>
    <t>TRAN_H2_ConvPipe_DK2-DK1</t>
  </si>
  <si>
    <t>TRAN_H2_NewPipe_DK2-SE4</t>
  </si>
  <si>
    <t>TRAN_H2_ConvPipe_DK1-SE3</t>
  </si>
  <si>
    <t>TRAN_H2_NewPipe_SE4-SE3</t>
  </si>
  <si>
    <t>TRAN_H2_NewPipe_SE3-SE2</t>
  </si>
  <si>
    <t>TRAN_H2_NewPipe_SE2-SE1</t>
  </si>
  <si>
    <t>TRAN_H2_ConvPipe_NO2-NS</t>
  </si>
  <si>
    <t>TRAN_H2_ConvPipe_NO3-NS</t>
  </si>
  <si>
    <t>TRAN_H2_ConvPipe_NO5-NS</t>
  </si>
  <si>
    <t>TRAN_H2_ConvPipe_NS-EU</t>
  </si>
  <si>
    <t>TRAN_H2_NewPipe_SE3-EU</t>
  </si>
  <si>
    <t>TRAN_H2_NewPipe_SE2-EU</t>
  </si>
  <si>
    <t>TG-FT - NOT USED</t>
  </si>
  <si>
    <t xml:space="preserve">TG-FT </t>
  </si>
  <si>
    <t>[1] Technology Data for advanced bioenergy fuels</t>
  </si>
  <si>
    <t>Extra diesel with H2 addon:</t>
  </si>
  <si>
    <t>Extra kerosene, assuming diesel/kerosene = 1 relationsship</t>
  </si>
  <si>
    <t>..this is also assumed by the DEA</t>
  </si>
  <si>
    <t xml:space="preserve">NOW AUTOMATISED </t>
  </si>
  <si>
    <t>Converted</t>
  </si>
  <si>
    <t>Capacity</t>
  </si>
  <si>
    <t>Investment</t>
  </si>
  <si>
    <t>Fixed O&amp;M</t>
  </si>
  <si>
    <t>M€/km/GW</t>
  </si>
  <si>
    <t>Offshore Electrolyser</t>
  </si>
  <si>
    <r>
      <t xml:space="preserve">Koivisto, M., Gea-Bermúdez, J., &amp; Sørensen, P. (2020). North Sea offshore grid development: Combined optimisation of grid and generation investments towards 2050. </t>
    </r>
    <r>
      <rPr>
        <i/>
        <sz val="11"/>
        <color theme="1"/>
        <rFont val="Calibri"/>
        <family val="2"/>
        <scheme val="minor"/>
      </rPr>
      <t>IET Renewable Power Generation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14</t>
    </r>
    <r>
      <rPr>
        <sz val="11"/>
        <color theme="1"/>
        <rFont val="Calibri"/>
        <family val="2"/>
        <scheme val="minor"/>
      </rPr>
      <t>(8), 1259–1267. https://doi.org/10.1049/iet-rpg.2019.0693</t>
    </r>
  </si>
  <si>
    <t>Inputs</t>
  </si>
  <si>
    <t>Off-shore wind turbine</t>
  </si>
  <si>
    <t>Investment costs</t>
  </si>
  <si>
    <t>2 GW Hub investment</t>
  </si>
  <si>
    <t>M€/MWel</t>
  </si>
  <si>
    <t>M€/MWH2</t>
  </si>
  <si>
    <t>€/MWH2</t>
  </si>
  <si>
    <t>€/MWel</t>
  </si>
  <si>
    <t>€/MWhel</t>
  </si>
  <si>
    <t>€/MWhH2</t>
  </si>
  <si>
    <t>Pipeline</t>
  </si>
  <si>
    <t>[3]</t>
  </si>
  <si>
    <t>See H2 Grid data</t>
  </si>
  <si>
    <t>Lengths</t>
  </si>
  <si>
    <t>m</t>
  </si>
  <si>
    <t>Total, NO-HUB</t>
  </si>
  <si>
    <t>Total, DK1-HUB</t>
  </si>
  <si>
    <t>DK1-HUB</t>
  </si>
  <si>
    <t>M€/km/GWH2</t>
  </si>
  <si>
    <t>€/km/GWH2</t>
  </si>
  <si>
    <t>Regarding [1]:</t>
  </si>
  <si>
    <t>GNR_WT_WIND_OFF_HUB_RG1_SD-20M_Y-2030 is the one used in GDATA</t>
  </si>
  <si>
    <t>Capacity to EU</t>
  </si>
  <si>
    <t>Capacity to FIN</t>
  </si>
  <si>
    <t>2040 and 2050</t>
  </si>
  <si>
    <t>[4]</t>
  </si>
  <si>
    <r>
      <t xml:space="preserve">Gea-Bermúdez, J., Bramstoft, R., Koivisto, M., Kitzing, L., &amp; Ramos, A. (2021). </t>
    </r>
    <r>
      <rPr>
        <i/>
        <sz val="11"/>
        <color theme="1"/>
        <rFont val="Calibri"/>
        <family val="2"/>
        <scheme val="minor"/>
      </rPr>
      <t>Going offshore or not: Where to generate hydrogen in future integrated energy systems?</t>
    </r>
    <r>
      <rPr>
        <sz val="11"/>
        <color theme="1"/>
        <rFont val="Calibri"/>
        <family val="2"/>
        <scheme val="minor"/>
      </rPr>
      <t xml:space="preserve"> https://doi.org/10.36227/techrxiv.14806647.v2</t>
    </r>
  </si>
  <si>
    <t>assuming</t>
  </si>
  <si>
    <t>5% pr.</t>
  </si>
  <si>
    <t>5 year</t>
  </si>
  <si>
    <t>HIGH</t>
  </si>
  <si>
    <t>MED</t>
  </si>
  <si>
    <t>LOSS (%/km)</t>
  </si>
  <si>
    <t>Loss frac MWh/MWh</t>
  </si>
  <si>
    <t>Meuro</t>
  </si>
  <si>
    <t>Beuro</t>
  </si>
  <si>
    <t>Total Costs, 2040</t>
  </si>
  <si>
    <t>Total Costs, 2030</t>
  </si>
  <si>
    <t>More fuel Scenario</t>
  </si>
  <si>
    <t>Assumptions</t>
  </si>
  <si>
    <t>No electrification of aviation</t>
  </si>
  <si>
    <t>50% less electricity demand for Evs</t>
  </si>
  <si>
    <t>NCE, CNN Scenario -electricity</t>
  </si>
  <si>
    <t>NCE, CNN Scenario -electricity, assuming 40% in NO1, 30% in NO5, NO2</t>
  </si>
  <si>
    <t>NCE, CNN Scenario -electricity, assuming 50% in NO3 and NO4</t>
  </si>
  <si>
    <t>NCE, CNN Scenario -electricity, assuming 60% in NO1, 20% in NO5, NO2</t>
  </si>
  <si>
    <t>Fuel Demands BEFORE</t>
  </si>
  <si>
    <t>Electricity Demands BEFORE</t>
  </si>
  <si>
    <t>* AVIATION</t>
  </si>
  <si>
    <t>DE('2030', RRR, 'TRANS_AVIA') = 0;</t>
  </si>
  <si>
    <t xml:space="preserve">* DK1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</si>
  <si>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</si>
  <si>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DK2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</si>
  <si>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  </t>
  </si>
  <si>
    <t>* NO1          ', 'TRANS_AVIA')</t>
  </si>
  <si>
    <t xml:space="preserve">             </t>
  </si>
  <si>
    <t xml:space="preserve">* NO2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</si>
  <si>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NO3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</si>
  <si>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NO4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</si>
  <si>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</t>
  </si>
  <si>
    <t xml:space="preserve">* NO5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</si>
  <si>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</si>
  <si>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SE1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</si>
  <si>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</si>
  <si>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SE2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</si>
  <si>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SE3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</si>
  <si>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</t>
  </si>
  <si>
    <t xml:space="preserve">* SE4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</si>
  <si>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DK1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</si>
  <si>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DK2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</si>
  <si>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* NO1          ', 'TRANS_EV')</t>
  </si>
  <si>
    <t>* NO2          ', 'TRANS_EV')</t>
  </si>
  <si>
    <t>* NO3          ', 'TRANS_EV')</t>
  </si>
  <si>
    <t>* NO4          ', 'TRANS_EV')</t>
  </si>
  <si>
    <t xml:space="preserve">* NO5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</si>
  <si>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SE1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</si>
  <si>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SE2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</si>
  <si>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SE3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</si>
  <si>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SE4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</si>
  <si>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DE('2040', 'DK1', 'TRANS_AVIA') </t>
  </si>
  <si>
    <t xml:space="preserve">DE('2050', 'DK1', 'TRANS_AVIA') </t>
  </si>
  <si>
    <t xml:space="preserve">DE('2040', 'DK2', 'TRANS_AVIA') </t>
  </si>
  <si>
    <t xml:space="preserve">DE('2050', 'DK2', 'TRANS_AVIA') </t>
  </si>
  <si>
    <t xml:space="preserve">DE('2040', 'NO1', 'TRANS_AVIA') </t>
  </si>
  <si>
    <t xml:space="preserve">DE('2050', 'NO1', 'TRANS_AVIA') </t>
  </si>
  <si>
    <t xml:space="preserve">DE('2040', 'NO2', 'TRANS_AVIA') </t>
  </si>
  <si>
    <t xml:space="preserve">DE('2050', 'NO2', 'TRANS_AVIA') </t>
  </si>
  <si>
    <t xml:space="preserve">DE('2040', 'NO3', 'TRANS_AVIA') </t>
  </si>
  <si>
    <t xml:space="preserve">DE('2050', 'NO3', 'TRANS_AVIA') </t>
  </si>
  <si>
    <t xml:space="preserve">DE('2040', 'NO4', 'TRANS_AVIA') </t>
  </si>
  <si>
    <t xml:space="preserve">DE('2050', 'NO4', 'TRANS_AVIA') </t>
  </si>
  <si>
    <t xml:space="preserve">DE('2040', 'NO5', 'TRANS_AVIA') </t>
  </si>
  <si>
    <t xml:space="preserve">DE('2050', 'NO5', 'TRANS_AVIA') </t>
  </si>
  <si>
    <t xml:space="preserve">DE('2040', 'SE1', 'TRANS_AVIA') </t>
  </si>
  <si>
    <t xml:space="preserve">DE('2050', 'SE1', 'TRANS_AVIA') </t>
  </si>
  <si>
    <t xml:space="preserve">DE('2040', 'SE2', 'TRANS_AVIA') </t>
  </si>
  <si>
    <t xml:space="preserve">DE('2050', 'SE2', 'TRANS_AVIA') </t>
  </si>
  <si>
    <t xml:space="preserve">DE('2040', 'SE3', 'TRANS_AVIA') </t>
  </si>
  <si>
    <t xml:space="preserve">DE('2050', 'SE3', 'TRANS_AVIA') </t>
  </si>
  <si>
    <t xml:space="preserve">DE('2040', 'SE4', 'TRANS_AVIA') </t>
  </si>
  <si>
    <t xml:space="preserve">DE('2050', 'SE4', 'TRANS_AVIA') </t>
  </si>
  <si>
    <t xml:space="preserve">DE('2030', 'DK1', 'TRANS_EV') </t>
  </si>
  <si>
    <t xml:space="preserve">DE('2040', 'DK1', 'TRANS_EV') </t>
  </si>
  <si>
    <t xml:space="preserve">DE('2050', 'DK1', 'TRANS_EV') </t>
  </si>
  <si>
    <t xml:space="preserve">DE('2030', 'DK2', 'TRANS_EV') </t>
  </si>
  <si>
    <t xml:space="preserve">DE('2040', 'DK2', 'TRANS_EV') </t>
  </si>
  <si>
    <t xml:space="preserve">DE('2050', 'DK2', 'TRANS_EV') </t>
  </si>
  <si>
    <t xml:space="preserve">DE('2030', 'NO1', 'TRANS_EV') </t>
  </si>
  <si>
    <t xml:space="preserve">DE('2040', 'NO1', 'TRANS_EV') </t>
  </si>
  <si>
    <t xml:space="preserve">DE('2050', 'NO1', 'TRANS_EV') </t>
  </si>
  <si>
    <t xml:space="preserve">DE('2030', 'NO2', 'TRANS_EV') </t>
  </si>
  <si>
    <t xml:space="preserve">DE('2040', 'NO2', 'TRANS_EV') </t>
  </si>
  <si>
    <t xml:space="preserve">DE('2050', 'NO2', 'TRANS_EV') </t>
  </si>
  <si>
    <t xml:space="preserve">DE('2030', 'NO3', 'TRANS_EV') </t>
  </si>
  <si>
    <t xml:space="preserve">DE('2040', 'NO3', 'TRANS_EV') </t>
  </si>
  <si>
    <t xml:space="preserve">DE('2050', 'NO3', 'TRANS_EV') </t>
  </si>
  <si>
    <t xml:space="preserve">DE('2030', 'NO4', 'TRANS_EV') </t>
  </si>
  <si>
    <t xml:space="preserve">DE('2040', 'NO4', 'TRANS_EV') </t>
  </si>
  <si>
    <t xml:space="preserve">DE('2050', 'NO4', 'TRANS_EV') </t>
  </si>
  <si>
    <t xml:space="preserve">DE('2030', 'NO5', 'TRANS_EV') </t>
  </si>
  <si>
    <t xml:space="preserve">DE('2040', 'NO5', 'TRANS_EV') </t>
  </si>
  <si>
    <t xml:space="preserve">DE('2050', 'NO5', 'TRANS_EV') </t>
  </si>
  <si>
    <t xml:space="preserve">DE('2030', 'SE1', 'TRANS_EV') </t>
  </si>
  <si>
    <t xml:space="preserve">DE('2040', 'SE1', 'TRANS_EV') </t>
  </si>
  <si>
    <t xml:space="preserve">DE('2050', 'SE1', 'TRANS_EV') </t>
  </si>
  <si>
    <t xml:space="preserve">DE('2030', 'SE2', 'TRANS_EV') </t>
  </si>
  <si>
    <t xml:space="preserve">DE('2040', 'SE2', 'TRANS_EV') </t>
  </si>
  <si>
    <t xml:space="preserve">DE('2050', 'SE2', 'TRANS_EV') </t>
  </si>
  <si>
    <t xml:space="preserve">DE('2030', 'SE3', 'TRANS_EV') </t>
  </si>
  <si>
    <t xml:space="preserve">DE('2040', 'SE3', 'TRANS_EV') </t>
  </si>
  <si>
    <t xml:space="preserve">DE('2050', 'SE3', 'TRANS_EV') </t>
  </si>
  <si>
    <t xml:space="preserve">DE('2030', 'SE4', 'TRANS_EV') </t>
  </si>
  <si>
    <t xml:space="preserve">DE('2040', 'SE4', 'TRANS_EV') </t>
  </si>
  <si>
    <t xml:space="preserve">DE('2050', 'SE4', 'TRANS_EV') </t>
  </si>
  <si>
    <t>Assumed Electrical Engine Efficiency</t>
  </si>
  <si>
    <t xml:space="preserve">Eldemand </t>
  </si>
  <si>
    <t>MWh</t>
  </si>
  <si>
    <t>Assumed ICE engine efficiency</t>
  </si>
  <si>
    <t>El-to-fuel-demand-ratio</t>
  </si>
  <si>
    <t>Fuel Demand</t>
  </si>
  <si>
    <t>Param</t>
  </si>
  <si>
    <t>Old Fuel Dem</t>
  </si>
  <si>
    <t>New Fuel Dem</t>
  </si>
  <si>
    <t>Fuel Demands AFTER</t>
  </si>
  <si>
    <t>LessElectr</t>
  </si>
  <si>
    <t>Ship Transport</t>
  </si>
  <si>
    <r>
      <t xml:space="preserve">Danish Energy Agency and Energinet. (2021). </t>
    </r>
    <r>
      <rPr>
        <i/>
        <sz val="11"/>
        <color theme="1"/>
        <rFont val="Calibri"/>
        <family val="2"/>
        <scheme val="minor"/>
      </rPr>
      <t>Technology Data for Energy Transport</t>
    </r>
    <r>
      <rPr>
        <sz val="11"/>
        <color theme="1"/>
        <rFont val="Calibri"/>
        <family val="2"/>
        <scheme val="minor"/>
      </rPr>
      <t>. 1–152.</t>
    </r>
  </si>
  <si>
    <t>Oil tanker typical capacity</t>
  </si>
  <si>
    <t>m3</t>
  </si>
  <si>
    <t>Fuel densities at STP</t>
  </si>
  <si>
    <t>kg/m3</t>
  </si>
  <si>
    <t>Oil tanker technoeconomics</t>
  </si>
  <si>
    <t>Energy dem</t>
  </si>
  <si>
    <t>€/tLHC</t>
  </si>
  <si>
    <t>MJ/km</t>
  </si>
  <si>
    <t>Lifetime</t>
  </si>
  <si>
    <t>yr</t>
  </si>
  <si>
    <t>€/tLHC/yr</t>
  </si>
  <si>
    <t>tKero</t>
  </si>
  <si>
    <t>LHV</t>
  </si>
  <si>
    <t>MWhKero</t>
  </si>
  <si>
    <t>MWhKero/pr. ship</t>
  </si>
  <si>
    <t>€/MWhKero</t>
  </si>
  <si>
    <t>€/MWhKero/yr</t>
  </si>
  <si>
    <t>1 ship takes 7/2 days to transport</t>
  </si>
  <si>
    <t xml:space="preserve">Assumptions: </t>
  </si>
  <si>
    <t>days/ship</t>
  </si>
  <si>
    <t>hours/ship</t>
  </si>
  <si>
    <t>MWKero</t>
  </si>
  <si>
    <t>Cash flow</t>
  </si>
  <si>
    <t>Transported</t>
  </si>
  <si>
    <t>Transported pr. year:</t>
  </si>
  <si>
    <t>LOW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</si>
</sst>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4">
    <numFmt numFmtId="43" formatCode="_-* #,##0.00_-;\-* #,##0.00_-;_-* &quot;-&quot;??_-;_-@_-"/>
    <numFmt numFmtId="164" formatCode="0.0000"/>
    <numFmt numFmtId="165" formatCode="0.000"/>
    <numFmt numFmtId="166" formatCode="0.00000"/>
    <numFmt numFmtId="167" formatCode="_-* #,##0_-;\-* #,##0_-;_-* &quot;-&quot;??_-;_-@_-"/>
    <numFmt numFmtId="168" formatCode="_-* #,##0.000_-;\-* #,##0.000_-;_-* &quot;-&quot;??_-;_-@_-"/>
    <numFmt numFmtId="169" formatCode="_-* #,##0.0000\ _k_r_._-;\-* #,##0.0000\ _k_r_._-;_-* &quot;-&quot;??\ _k_r_._-;_-@_-"/>
    <numFmt numFmtId="170" formatCode="#,##0.##########"/>
    <numFmt numFmtId="171" formatCode="[$€-2]\ #,##0;[Red]\-[$€-2]\ #,##0"/>
    <numFmt numFmtId="172" formatCode="#,##0.0"/>
    <numFmt numFmtId="173" formatCode="0.0"/>
    <numFmt numFmtId="174" formatCode="0E+00"/>
    <numFmt numFmtId="175" formatCode="0.000_ ;\-0.000\ "/>
    <numFmt numFmtId="176" formatCode="0.0000_ ;\-0.0000\ "/>
  </numFmts>
  <fonts count="24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Arial"/>
      <family val="2"/>
    </font>
    <font>
      <b/>
      <sz val="9"/>
      <color indexed="9"/>
      <name val="Arial"/>
      <family val="2"/>
    </font>
    <font>
      <sz val="8"/>
      <name val="Arial"/>
      <family val="2"/>
    </font>
    <font>
      <sz val="11"/>
      <color rgb="FF000000"/>
      <name val="Calibri"/>
      <family val="2"/>
      <scheme val="minor"/>
    </font>
    <font>
      <sz val="8"/>
      <name val="Calibri"/>
      <family val="2"/>
      <scheme val="minor"/>
    </font>
    <font>
      <b/>
      <sz val="9"/>
      <color indexed="9"/>
      <name val="Arial"/>
      <family val="2"/>
    </font>
    <font>
      <b/>
      <sz val="9"/>
      <name val="Arial"/>
      <family val="2"/>
    </font>
    <font>
      <sz val="9"/>
      <name val="Arial"/>
      <family val="2"/>
    </font>
    <font>
      <b/>
      <sz val="11"/>
      <color theme="3"/>
      <name val="Calibri"/>
      <family val="2"/>
      <scheme val="minor"/>
    </font>
    <font>
      <b/>
      <sz val="10"/>
      <name val="Calibri"/>
      <family val="2"/>
      <scheme val="minor"/>
    </font>
    <font>
      <i/>
      <sz val="8"/>
      <name val="Calibri"/>
      <family val="2"/>
      <scheme val="minor"/>
    </font>
    <font>
      <sz val="10"/>
      <name val="Calibri"/>
      <family val="2"/>
      <scheme val="minor"/>
    </font>
    <font>
      <b/>
      <i/>
      <sz val="10"/>
      <name val="Calibri"/>
      <family val="2"/>
      <scheme val="minor"/>
    </font>
    <font>
      <b/>
      <sz val="8"/>
      <name val="Calibri"/>
      <family val="2"/>
      <scheme val="minor"/>
    </font>
    <font>
      <b/>
      <sz val="8"/>
      <color rgb="FF00B050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F6F6F6"/>
      </patternFill>
    </fill>
    <fill>
      <patternFill patternType="solid">
        <fgColor rgb="FF4669AF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DCE6F1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/>
        <bgColor indexed="64"/>
      </patternFill>
    </fill>
  </fills>
  <borders count="16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B0B0B0"/>
      </left>
      <right style="thin">
        <color rgb="FFB0B0B0"/>
      </right>
      <top style="thin">
        <color rgb="FFB0B0B0"/>
      </top>
      <bottom style="thin">
        <color rgb="FFB0B0B0"/>
      </bottom>
      <diagonal/>
    </border>
    <border>
      <left style="thin">
        <color rgb="FF000000"/>
      </left>
      <right/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medium">
        <color rgb="FFA3A3A3"/>
      </left>
      <right style="medium">
        <color rgb="FFA3A3A3"/>
      </right>
      <top style="medium">
        <color rgb="FFA3A3A3"/>
      </top>
      <bottom style="medium">
        <color rgb="FFA3A3A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A3A3A3"/>
      </left>
      <right/>
      <top style="medium">
        <color rgb="FFA3A3A3"/>
      </top>
      <bottom style="medium">
        <color rgb="FFA3A3A3"/>
      </bottom>
      <diagonal/>
    </border>
    <border>
      <left style="medium">
        <color rgb="FFA3A3A3"/>
      </left>
      <right style="medium">
        <color rgb="FFA3A3A3"/>
      </right>
      <top style="medium">
        <color rgb="FFA3A3A3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/>
      <right/>
      <top/>
      <bottom style="thin">
        <color indexed="64"/>
      </bottom>
      <diagonal/>
    </border>
  </borders>
  <cellStyleXfs count="5">
    <xf numFmtId="0" fontId="0" fillId="0" borderId="0"/>
    <xf numFmtId="43" fontId="5" fillId="0" borderId="0" applyFont="0" applyFill="0" applyBorder="0" applyAlignment="0" applyProtection="0"/>
    <xf numFmtId="0" fontId="6" fillId="0" borderId="0" applyNumberFormat="0" applyFill="0" applyBorder="0" applyAlignment="0" applyProtection="0"/>
    <xf numFmtId="9" fontId="5" fillId="0" borderId="0" applyFont="0" applyFill="0" applyBorder="0" applyAlignment="0" applyProtection="0"/>
    <xf numFmtId="0" fontId="15" fillId="0" borderId="0" applyNumberFormat="0" applyFill="0" applyBorder="0" applyAlignment="0" applyProtection="0"/>
  </cellStyleXfs>
  <cellXfs count="159">
    <xf numFmtId="0" fontId="0" fillId="0" borderId="0" xfId="0"/>
    <xf numFmtId="0" fontId="0" fillId="0" borderId="0" xfId="0" applyNumberFormat="1"/>
    <xf numFmtId="1" fontId="0" fillId="0" borderId="0" xfId="0" applyNumberFormat="1"/>
    <xf numFmtId="2" fontId="0" fillId="0" borderId="0" xfId="0" applyNumberFormat="1"/>
    <xf numFmtId="20" fontId="0" fillId="0" borderId="0" xfId="0" applyNumberFormat="1"/>
    <xf numFmtId="164" fontId="0" fillId="0" borderId="0" xfId="0" applyNumberFormat="1"/>
    <xf numFmtId="165" fontId="0" fillId="0" borderId="0" xfId="0" applyNumberFormat="1"/>
    <xf numFmtId="0" fontId="2" fillId="0" borderId="0" xfId="0" applyFont="1"/>
    <xf numFmtId="0" fontId="2" fillId="0" borderId="0" xfId="0" applyFont="1" applyAlignment="1">
      <alignment horizontal="center"/>
    </xf>
    <xf numFmtId="2" fontId="2" fillId="0" borderId="0" xfId="0" applyNumberFormat="1" applyFont="1" applyAlignment="1">
      <alignment horizontal="right" vertical="top" indent="1"/>
    </xf>
    <xf numFmtId="0" fontId="3" fillId="0" borderId="0" xfId="0" applyFont="1"/>
    <xf numFmtId="0" fontId="1" fillId="0" borderId="0" xfId="0" applyFont="1"/>
    <xf numFmtId="0" fontId="4" fillId="0" borderId="0" xfId="0" applyFont="1"/>
    <xf numFmtId="0" fontId="0" fillId="0" borderId="0" xfId="0" applyAlignment="1">
      <alignment horizontal="left"/>
    </xf>
    <xf numFmtId="0" fontId="0" fillId="0" borderId="0" xfId="0" quotePrefix="1"/>
    <xf numFmtId="0" fontId="0" fillId="0" borderId="1" xfId="0" applyBorder="1" applyAlignment="1">
      <alignment vertical="center" wrapText="1"/>
    </xf>
    <xf numFmtId="166" fontId="0" fillId="0" borderId="0" xfId="0" applyNumberFormat="1"/>
    <xf numFmtId="0" fontId="6" fillId="0" borderId="0" xfId="2" applyAlignment="1">
      <alignment horizontal="center" vertical="center"/>
    </xf>
    <xf numFmtId="167" fontId="0" fillId="0" borderId="0" xfId="1" applyNumberFormat="1" applyFont="1"/>
    <xf numFmtId="167" fontId="0" fillId="0" borderId="0" xfId="0" applyNumberFormat="1"/>
    <xf numFmtId="168" fontId="0" fillId="0" borderId="0" xfId="0" applyNumberFormat="1"/>
    <xf numFmtId="169" fontId="0" fillId="0" borderId="0" xfId="0" applyNumberFormat="1"/>
    <xf numFmtId="170" fontId="7" fillId="2" borderId="0" xfId="0" applyNumberFormat="1" applyFont="1" applyFill="1" applyAlignment="1">
      <alignment horizontal="right" vertical="center" shrinkToFit="1"/>
    </xf>
    <xf numFmtId="4" fontId="7" fillId="2" borderId="0" xfId="0" applyNumberFormat="1" applyFont="1" applyFill="1" applyAlignment="1">
      <alignment horizontal="right" vertical="center" shrinkToFit="1"/>
    </xf>
    <xf numFmtId="170" fontId="0" fillId="0" borderId="0" xfId="0" applyNumberFormat="1"/>
    <xf numFmtId="0" fontId="8" fillId="3" borderId="2" xfId="0" applyFont="1" applyFill="1" applyBorder="1" applyAlignment="1">
      <alignment horizontal="left" vertical="center"/>
    </xf>
    <xf numFmtId="171" fontId="0" fillId="0" borderId="0" xfId="0" applyNumberFormat="1"/>
    <xf numFmtId="0" fontId="0" fillId="0" borderId="3" xfId="0" applyFill="1" applyBorder="1" applyAlignment="1">
      <alignment vertical="center" wrapText="1"/>
    </xf>
    <xf numFmtId="3" fontId="7" fillId="2" borderId="0" xfId="0" applyNumberFormat="1" applyFont="1" applyFill="1" applyAlignment="1">
      <alignment horizontal="right" vertical="center" shrinkToFit="1"/>
    </xf>
    <xf numFmtId="172" fontId="7" fillId="2" borderId="0" xfId="0" applyNumberFormat="1" applyFont="1" applyFill="1" applyAlignment="1">
      <alignment horizontal="right" vertical="center" shrinkToFit="1"/>
    </xf>
    <xf numFmtId="0" fontId="9" fillId="4" borderId="4" xfId="0" quotePrefix="1" applyFont="1" applyFill="1" applyBorder="1" applyAlignment="1">
      <alignment vertical="center" wrapText="1"/>
    </xf>
    <xf numFmtId="173" fontId="9" fillId="4" borderId="5" xfId="0" applyNumberFormat="1" applyFont="1" applyFill="1" applyBorder="1" applyAlignment="1">
      <alignment horizontal="center" vertical="center" wrapText="1"/>
    </xf>
    <xf numFmtId="2" fontId="9" fillId="4" borderId="5" xfId="0" applyNumberFormat="1" applyFont="1" applyFill="1" applyBorder="1" applyAlignment="1">
      <alignment horizontal="center" vertical="center" wrapText="1"/>
    </xf>
    <xf numFmtId="0" fontId="0" fillId="0" borderId="7" xfId="0" applyFill="1" applyBorder="1" applyAlignment="1">
      <alignment vertical="center" wrapText="1"/>
    </xf>
    <xf numFmtId="0" fontId="10" fillId="0" borderId="8" xfId="0" applyFont="1" applyBorder="1" applyAlignment="1">
      <alignment vertical="center" wrapText="1"/>
    </xf>
    <xf numFmtId="3" fontId="10" fillId="0" borderId="8" xfId="0" applyNumberFormat="1" applyFont="1" applyBorder="1" applyAlignment="1">
      <alignment vertical="center" wrapText="1"/>
    </xf>
    <xf numFmtId="0" fontId="4" fillId="5" borderId="0" xfId="0" applyFont="1" applyFill="1"/>
    <xf numFmtId="0" fontId="0" fillId="5" borderId="0" xfId="0" applyFill="1"/>
    <xf numFmtId="0" fontId="0" fillId="0" borderId="0" xfId="0" applyAlignment="1">
      <alignment vertical="center"/>
    </xf>
    <xf numFmtId="167" fontId="0" fillId="0" borderId="9" xfId="1" applyNumberFormat="1" applyFont="1" applyBorder="1"/>
    <xf numFmtId="0" fontId="0" fillId="0" borderId="9" xfId="0" applyBorder="1"/>
    <xf numFmtId="0" fontId="0" fillId="6" borderId="0" xfId="0" applyFill="1"/>
    <xf numFmtId="1" fontId="0" fillId="6" borderId="0" xfId="0" applyNumberFormat="1" applyFill="1"/>
    <xf numFmtId="174" fontId="0" fillId="0" borderId="0" xfId="0" applyNumberFormat="1"/>
    <xf numFmtId="0" fontId="0" fillId="0" borderId="0" xfId="0" applyAlignment="1">
      <alignment horizontal="center"/>
    </xf>
    <xf numFmtId="0" fontId="0" fillId="7" borderId="0" xfId="0" applyFill="1"/>
    <xf numFmtId="174" fontId="0" fillId="7" borderId="0" xfId="0" applyNumberFormat="1" applyFill="1"/>
    <xf numFmtId="1" fontId="0" fillId="7" borderId="0" xfId="0" applyNumberFormat="1" applyFill="1"/>
    <xf numFmtId="0" fontId="0" fillId="0" borderId="0" xfId="0" applyAlignment="1"/>
    <xf numFmtId="0" fontId="0" fillId="9" borderId="0" xfId="0" applyFill="1" applyAlignment="1">
      <alignment horizontal="center"/>
    </xf>
    <xf numFmtId="0" fontId="0" fillId="9" borderId="0" xfId="0" applyFill="1" applyAlignment="1">
      <alignment horizontal="center" vertical="center"/>
    </xf>
    <xf numFmtId="1" fontId="0" fillId="9" borderId="0" xfId="0" applyNumberFormat="1" applyFill="1" applyAlignment="1">
      <alignment horizontal="center" vertical="center"/>
    </xf>
    <xf numFmtId="0" fontId="0" fillId="4" borderId="0" xfId="0" applyFill="1" applyAlignment="1">
      <alignment horizontal="center"/>
    </xf>
    <xf numFmtId="0" fontId="0" fillId="4" borderId="0" xfId="0" applyFill="1" applyAlignment="1">
      <alignment horizontal="center" vertical="center"/>
    </xf>
    <xf numFmtId="1" fontId="0" fillId="4" borderId="0" xfId="0" applyNumberFormat="1" applyFill="1" applyAlignment="1">
      <alignment horizontal="center" vertical="center"/>
    </xf>
    <xf numFmtId="0" fontId="0" fillId="4" borderId="0" xfId="0" applyFill="1" applyAlignment="1">
      <alignment horizontal="right"/>
    </xf>
    <xf numFmtId="173" fontId="0" fillId="4" borderId="0" xfId="0" applyNumberFormat="1" applyFill="1" applyAlignment="1">
      <alignment horizontal="center"/>
    </xf>
    <xf numFmtId="173" fontId="0" fillId="4" borderId="0" xfId="0" applyNumberFormat="1" applyFill="1" applyAlignment="1">
      <alignment horizontal="center" vertical="center"/>
    </xf>
    <xf numFmtId="0" fontId="0" fillId="9" borderId="0" xfId="0" applyFill="1" applyAlignment="1">
      <alignment horizontal="right"/>
    </xf>
    <xf numFmtId="173" fontId="0" fillId="9" borderId="0" xfId="0" applyNumberFormat="1" applyFill="1" applyAlignment="1">
      <alignment horizontal="center"/>
    </xf>
    <xf numFmtId="173" fontId="0" fillId="9" borderId="0" xfId="0" applyNumberFormat="1" applyFill="1" applyAlignment="1">
      <alignment horizontal="center" vertical="center"/>
    </xf>
    <xf numFmtId="0" fontId="0" fillId="8" borderId="0" xfId="0" applyFill="1" applyAlignment="1"/>
    <xf numFmtId="43" fontId="0" fillId="7" borderId="0" xfId="1" applyFont="1" applyFill="1" applyAlignment="1">
      <alignment horizontal="right"/>
    </xf>
    <xf numFmtId="43" fontId="0" fillId="7" borderId="0" xfId="1" applyFont="1" applyFill="1"/>
    <xf numFmtId="1" fontId="0" fillId="0" borderId="0" xfId="0" applyNumberFormat="1" applyFill="1"/>
    <xf numFmtId="0" fontId="12" fillId="3" borderId="2" xfId="0" applyFont="1" applyFill="1" applyBorder="1" applyAlignment="1">
      <alignment horizontal="right" vertical="center"/>
    </xf>
    <xf numFmtId="0" fontId="13" fillId="10" borderId="2" xfId="0" applyFont="1" applyFill="1" applyBorder="1" applyAlignment="1">
      <alignment horizontal="left" vertical="center"/>
    </xf>
    <xf numFmtId="3" fontId="14" fillId="2" borderId="0" xfId="0" applyNumberFormat="1" applyFont="1" applyFill="1" applyAlignment="1">
      <alignment horizontal="right" vertical="center" shrinkToFit="1"/>
    </xf>
    <xf numFmtId="170" fontId="14" fillId="2" borderId="0" xfId="0" applyNumberFormat="1" applyFont="1" applyFill="1" applyAlignment="1">
      <alignment horizontal="right" vertical="center" shrinkToFit="1"/>
    </xf>
    <xf numFmtId="4" fontId="14" fillId="2" borderId="0" xfId="0" applyNumberFormat="1" applyFont="1" applyFill="1" applyAlignment="1">
      <alignment horizontal="right" vertical="center" shrinkToFit="1"/>
    </xf>
    <xf numFmtId="3" fontId="10" fillId="0" borderId="10" xfId="0" applyNumberFormat="1" applyFont="1" applyBorder="1" applyAlignment="1">
      <alignment vertical="center" wrapText="1"/>
    </xf>
    <xf numFmtId="0" fontId="10" fillId="0" borderId="11" xfId="0" applyFont="1" applyBorder="1" applyAlignment="1">
      <alignment vertical="center" wrapText="1"/>
    </xf>
    <xf numFmtId="0" fontId="10" fillId="0" borderId="0" xfId="0" applyFont="1" applyFill="1" applyBorder="1" applyAlignment="1">
      <alignment vertical="center" wrapText="1"/>
    </xf>
    <xf numFmtId="3" fontId="10" fillId="0" borderId="0" xfId="0" applyNumberFormat="1" applyFont="1" applyFill="1" applyBorder="1" applyAlignment="1">
      <alignment vertical="center" wrapText="1"/>
    </xf>
    <xf numFmtId="0" fontId="0" fillId="0" borderId="0" xfId="0" applyFill="1" applyBorder="1"/>
    <xf numFmtId="0" fontId="10" fillId="0" borderId="8" xfId="0" applyFont="1" applyFill="1" applyBorder="1" applyAlignment="1">
      <alignment vertical="center" wrapText="1"/>
    </xf>
    <xf numFmtId="3" fontId="10" fillId="0" borderId="8" xfId="0" applyNumberFormat="1" applyFont="1" applyFill="1" applyBorder="1" applyAlignment="1">
      <alignment vertical="center" wrapText="1"/>
    </xf>
    <xf numFmtId="3" fontId="10" fillId="0" borderId="10" xfId="0" applyNumberFormat="1" applyFont="1" applyFill="1" applyBorder="1" applyAlignment="1">
      <alignment vertical="center" wrapText="1"/>
    </xf>
    <xf numFmtId="0" fontId="0" fillId="0" borderId="9" xfId="0" applyFill="1" applyBorder="1"/>
    <xf numFmtId="173" fontId="0" fillId="0" borderId="0" xfId="0" applyNumberFormat="1"/>
    <xf numFmtId="0" fontId="0" fillId="11" borderId="0" xfId="0" applyFill="1"/>
    <xf numFmtId="0" fontId="0" fillId="12" borderId="0" xfId="0" applyFill="1"/>
    <xf numFmtId="11" fontId="0" fillId="0" borderId="0" xfId="0" applyNumberFormat="1"/>
    <xf numFmtId="0" fontId="11" fillId="13" borderId="0" xfId="0" applyFont="1" applyFill="1" applyAlignment="1">
      <alignment horizontal="center"/>
    </xf>
    <xf numFmtId="0" fontId="11" fillId="13" borderId="0" xfId="0" applyFont="1" applyFill="1"/>
    <xf numFmtId="0" fontId="18" fillId="13" borderId="12" xfId="0" applyFont="1" applyFill="1" applyBorder="1"/>
    <xf numFmtId="0" fontId="18" fillId="13" borderId="12" xfId="0" applyFont="1" applyFill="1" applyBorder="1" applyAlignment="1">
      <alignment horizontal="center"/>
    </xf>
    <xf numFmtId="0" fontId="16" fillId="13" borderId="12" xfId="0" applyFont="1" applyFill="1" applyBorder="1" applyAlignment="1">
      <alignment horizontal="center" vertical="center" wrapText="1"/>
    </xf>
    <xf numFmtId="0" fontId="16" fillId="4" borderId="12" xfId="0" applyFont="1" applyFill="1" applyBorder="1" applyAlignment="1">
      <alignment horizontal="center" vertical="center" wrapText="1"/>
    </xf>
    <xf numFmtId="0" fontId="19" fillId="13" borderId="12" xfId="0" applyFont="1" applyFill="1" applyBorder="1" applyAlignment="1">
      <alignment horizontal="center" vertical="center" wrapText="1"/>
    </xf>
    <xf numFmtId="0" fontId="20" fillId="13" borderId="12" xfId="0" applyFont="1" applyFill="1" applyBorder="1" applyAlignment="1">
      <alignment horizontal="center" vertical="center" wrapText="1"/>
    </xf>
    <xf numFmtId="0" fontId="18" fillId="13" borderId="13" xfId="0" applyFont="1" applyFill="1" applyBorder="1"/>
    <xf numFmtId="0" fontId="18" fillId="13" borderId="13" xfId="0" applyFont="1" applyFill="1" applyBorder="1" applyAlignment="1">
      <alignment horizontal="center"/>
    </xf>
    <xf numFmtId="0" fontId="21" fillId="14" borderId="13" xfId="0" applyFont="1" applyFill="1" applyBorder="1" applyAlignment="1">
      <alignment horizontal="center" vertical="center" wrapText="1"/>
    </xf>
    <xf numFmtId="0" fontId="18" fillId="13" borderId="14" xfId="0" applyFont="1" applyFill="1" applyBorder="1" applyAlignment="1">
      <alignment vertical="center"/>
    </xf>
    <xf numFmtId="0" fontId="18" fillId="13" borderId="14" xfId="0" applyFont="1" applyFill="1" applyBorder="1" applyAlignment="1">
      <alignment horizontal="center"/>
    </xf>
    <xf numFmtId="0" fontId="21" fillId="14" borderId="14" xfId="0" applyFont="1" applyFill="1" applyBorder="1" applyAlignment="1">
      <alignment horizontal="center" vertical="center" wrapText="1"/>
    </xf>
    <xf numFmtId="0" fontId="18" fillId="13" borderId="15" xfId="0" applyFont="1" applyFill="1" applyBorder="1" applyAlignment="1">
      <alignment vertical="center"/>
    </xf>
    <xf numFmtId="0" fontId="18" fillId="13" borderId="15" xfId="0" applyFont="1" applyFill="1" applyBorder="1" applyAlignment="1">
      <alignment horizontal="center"/>
    </xf>
    <xf numFmtId="0" fontId="21" fillId="14" borderId="15" xfId="0" applyFont="1" applyFill="1" applyBorder="1" applyAlignment="1">
      <alignment horizontal="center" vertical="center" wrapText="1"/>
    </xf>
    <xf numFmtId="0" fontId="21" fillId="15" borderId="14" xfId="0" applyFont="1" applyFill="1" applyBorder="1" applyAlignment="1">
      <alignment horizontal="center" vertical="center" wrapText="1"/>
    </xf>
    <xf numFmtId="0" fontId="21" fillId="15" borderId="15" xfId="0" applyFont="1" applyFill="1" applyBorder="1" applyAlignment="1">
      <alignment horizontal="center" vertical="center" wrapText="1"/>
    </xf>
    <xf numFmtId="0" fontId="16" fillId="13" borderId="0" xfId="4" applyFont="1" applyFill="1" applyAlignment="1">
      <alignment horizontal="left"/>
    </xf>
    <xf numFmtId="0" fontId="18" fillId="13" borderId="0" xfId="0" applyFont="1" applyFill="1" applyAlignment="1">
      <alignment horizontal="center"/>
    </xf>
    <xf numFmtId="175" fontId="18" fillId="13" borderId="0" xfId="0" applyNumberFormat="1" applyFont="1" applyFill="1"/>
    <xf numFmtId="0" fontId="18" fillId="13" borderId="12" xfId="0" applyFont="1" applyFill="1" applyBorder="1" applyAlignment="1">
      <alignment horizontal="left"/>
    </xf>
    <xf numFmtId="176" fontId="18" fillId="13" borderId="12" xfId="0" applyNumberFormat="1" applyFont="1" applyFill="1" applyBorder="1"/>
    <xf numFmtId="0" fontId="18" fillId="13" borderId="0" xfId="0" applyFont="1" applyFill="1" applyAlignment="1">
      <alignment horizontal="left"/>
    </xf>
    <xf numFmtId="176" fontId="18" fillId="13" borderId="0" xfId="0" applyNumberFormat="1" applyFont="1" applyFill="1"/>
    <xf numFmtId="0" fontId="18" fillId="13" borderId="15" xfId="0" applyFont="1" applyFill="1" applyBorder="1" applyAlignment="1">
      <alignment horizontal="left"/>
    </xf>
    <xf numFmtId="176" fontId="18" fillId="13" borderId="15" xfId="0" applyNumberFormat="1" applyFont="1" applyFill="1" applyBorder="1"/>
    <xf numFmtId="9" fontId="11" fillId="13" borderId="0" xfId="3" applyFont="1" applyFill="1"/>
    <xf numFmtId="0" fontId="18" fillId="13" borderId="0" xfId="0" applyFont="1" applyFill="1"/>
    <xf numFmtId="0" fontId="16" fillId="12" borderId="0" xfId="4" applyFont="1" applyFill="1" applyAlignment="1"/>
    <xf numFmtId="0" fontId="11" fillId="12" borderId="0" xfId="0" applyFont="1" applyFill="1" applyAlignment="1">
      <alignment horizontal="center"/>
    </xf>
    <xf numFmtId="0" fontId="11" fillId="12" borderId="0" xfId="0" applyFont="1" applyFill="1"/>
    <xf numFmtId="0" fontId="17" fillId="12" borderId="0" xfId="0" applyFont="1" applyFill="1"/>
    <xf numFmtId="0" fontId="4" fillId="12" borderId="0" xfId="0" applyFont="1" applyFill="1"/>
    <xf numFmtId="0" fontId="0" fillId="0" borderId="0" xfId="0" applyAlignment="1">
      <alignment horizontal="left" vertical="center" indent="3"/>
    </xf>
    <xf numFmtId="0" fontId="22" fillId="0" borderId="15" xfId="0" applyFont="1" applyBorder="1"/>
    <xf numFmtId="0" fontId="0" fillId="0" borderId="15" xfId="0" applyBorder="1"/>
    <xf numFmtId="1" fontId="0" fillId="0" borderId="15" xfId="0" applyNumberFormat="1" applyBorder="1"/>
    <xf numFmtId="2" fontId="0" fillId="7" borderId="0" xfId="0" applyNumberFormat="1" applyFill="1"/>
    <xf numFmtId="0" fontId="0" fillId="0" borderId="12" xfId="0" applyBorder="1" applyAlignment="1">
      <alignment vertical="center"/>
    </xf>
    <xf numFmtId="165" fontId="0" fillId="7" borderId="0" xfId="0" applyNumberFormat="1" applyFill="1"/>
    <xf numFmtId="0" fontId="0" fillId="0" borderId="6" xfId="0" applyBorder="1" applyAlignment="1">
      <alignment vertical="center" wrapText="1"/>
    </xf>
    <xf numFmtId="0" fontId="0" fillId="0" borderId="0" xfId="0" applyFill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Fill="1" applyAlignment="1"/>
    <xf numFmtId="0" fontId="0" fillId="16" borderId="0" xfId="0" applyFill="1"/>
    <xf numFmtId="1" fontId="0" fillId="0" borderId="1" xfId="0" applyNumberFormat="1" applyBorder="1" applyAlignment="1">
      <alignment vertical="center" wrapText="1"/>
    </xf>
    <xf numFmtId="1" fontId="0" fillId="0" borderId="3" xfId="0" applyNumberFormat="1" applyFill="1" applyBorder="1" applyAlignment="1">
      <alignment vertical="center" wrapText="1"/>
    </xf>
    <xf numFmtId="0" fontId="0" fillId="0" borderId="6" xfId="0" applyFill="1" applyBorder="1" applyAlignment="1">
      <alignment vertical="center" wrapText="1"/>
    </xf>
    <xf numFmtId="1" fontId="0" fillId="7" borderId="0" xfId="1" applyNumberFormat="1" applyFont="1" applyFill="1" applyAlignment="1">
      <alignment horizontal="right"/>
    </xf>
    <xf numFmtId="1" fontId="0" fillId="7" borderId="0" xfId="1" applyNumberFormat="1" applyFont="1" applyFill="1"/>
    <xf numFmtId="0" fontId="6" fillId="0" borderId="0" xfId="2"/>
    <xf numFmtId="0" fontId="0" fillId="0" borderId="0" xfId="0" applyAlignment="1">
      <alignment horizontal="center"/>
    </xf>
    <xf numFmtId="0" fontId="0" fillId="17" borderId="1" xfId="0" applyFill="1" applyBorder="1" applyAlignment="1">
      <alignment vertical="center" wrapText="1"/>
    </xf>
    <xf numFmtId="0" fontId="0" fillId="0" borderId="0" xfId="0" applyAlignment="1">
      <alignment horizontal="right"/>
    </xf>
    <xf numFmtId="1" fontId="0" fillId="0" borderId="0" xfId="0" applyNumberFormat="1" applyBorder="1" applyAlignment="1">
      <alignment vertical="center" wrapText="1"/>
    </xf>
    <xf numFmtId="2" fontId="0" fillId="0" borderId="0" xfId="0" quotePrefix="1" applyNumberFormat="1"/>
    <xf numFmtId="2" fontId="0" fillId="0" borderId="0" xfId="0" applyNumberFormat="1" applyFill="1" applyBorder="1"/>
    <xf numFmtId="1" fontId="0" fillId="0" borderId="0" xfId="0" applyNumberFormat="1" applyFill="1" applyBorder="1"/>
    <xf numFmtId="0" fontId="4" fillId="0" borderId="15" xfId="0" applyFont="1" applyBorder="1"/>
    <xf numFmtId="0" fontId="0" fillId="0" borderId="0" xfId="0" applyAlignment="1">
      <alignment horizontal="left" vertical="top"/>
    </xf>
    <xf numFmtId="0" fontId="0" fillId="4" borderId="0" xfId="0" applyFill="1"/>
    <xf numFmtId="0" fontId="8" fillId="3" borderId="2" xfId="0" applyFont="1" applyFill="1" applyBorder="1" applyAlignment="1">
      <alignment horizontal="left" vertical="center"/>
    </xf>
    <xf numFmtId="0" fontId="12" fillId="3" borderId="2" xfId="0" applyFont="1" applyFill="1" applyBorder="1" applyAlignment="1">
      <alignment horizontal="left" vertical="center"/>
    </xf>
    <xf numFmtId="2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right" vertical="center"/>
    </xf>
    <xf numFmtId="1" fontId="0" fillId="0" borderId="0" xfId="0" applyNumberFormat="1" applyAlignment="1">
      <alignment horizontal="right" vertical="center"/>
    </xf>
    <xf numFmtId="0" fontId="0" fillId="0" borderId="0" xfId="0" applyAlignment="1">
      <alignment horizontal="center"/>
    </xf>
    <xf numFmtId="0" fontId="0" fillId="4" borderId="0" xfId="0" applyFill="1" applyAlignment="1">
      <alignment horizontal="right" vertical="center"/>
    </xf>
    <xf numFmtId="0" fontId="0" fillId="9" borderId="0" xfId="0" applyFill="1" applyAlignment="1">
      <alignment horizontal="right" vertical="center"/>
    </xf>
    <xf numFmtId="0" fontId="0" fillId="7" borderId="0" xfId="0" applyFill="1" applyAlignment="1">
      <alignment horizontal="center"/>
    </xf>
    <xf numFmtId="0" fontId="0" fillId="6" borderId="0" xfId="0" applyFill="1" applyAlignment="1">
      <alignment horizontal="center"/>
    </xf>
    <xf numFmtId="0" fontId="2" fillId="0" borderId="0" xfId="0" applyFont="1" applyAlignment="1">
      <alignment horizontal="center" vertical="center"/>
    </xf>
  </cellXfs>
  <cellStyles count="5">
    <cellStyle name="Comma" xfId="1" builtinId="3"/>
    <cellStyle name="Heading 4" xfId="4" builtinId="19"/>
    <cellStyle name="Hyperlink" xfId="2" builtinId="8"/>
    <cellStyle name="Normal" xfId="0" builtinId="0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3178937007874017"/>
          <c:y val="5.0925925925925923E-2"/>
          <c:w val="0.70774781277340337"/>
          <c:h val="0.74350320793234181"/>
        </c:manualLayout>
      </c:layout>
      <c:scatterChart>
        <c:scatterStyle val="lineMarker"/>
        <c:varyColors val="0"/>
        <c:ser>
          <c:idx val="0"/>
          <c:order val="0"/>
          <c:tx>
            <c:v>New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'H2 Grid Data'!$D$30:$F$30</c:f>
              <c:numCache>
                <c:formatCode>0.00</c:formatCode>
                <c:ptCount val="3"/>
                <c:pt idx="0">
                  <c:v>0.06</c:v>
                </c:pt>
                <c:pt idx="1">
                  <c:v>0.13055555555555556</c:v>
                </c:pt>
                <c:pt idx="2">
                  <c:v>0.27083333333333331</c:v>
                </c:pt>
              </c:numCache>
            </c:numRef>
          </c:xVal>
          <c:yVal>
            <c:numRef>
              <c:f>'H2 Grid Data'!$D$31:$F$31</c:f>
              <c:numCache>
                <c:formatCode>0.00</c:formatCode>
                <c:ptCount val="3"/>
                <c:pt idx="0">
                  <c:v>0.56500000000000006</c:v>
                </c:pt>
                <c:pt idx="1">
                  <c:v>0.45833333333333331</c:v>
                </c:pt>
                <c:pt idx="2">
                  <c:v>0.4375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922-4201-99AC-BF2383D34185}"/>
            </c:ext>
          </c:extLst>
        </c:ser>
        <c:ser>
          <c:idx val="1"/>
          <c:order val="1"/>
          <c:tx>
            <c:v>Converted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'H2 Grid Data'!$D$33:$F$33</c:f>
              <c:numCache>
                <c:formatCode>0.00</c:formatCode>
                <c:ptCount val="3"/>
                <c:pt idx="0">
                  <c:v>0.06</c:v>
                </c:pt>
                <c:pt idx="1">
                  <c:v>0.1</c:v>
                </c:pt>
                <c:pt idx="2">
                  <c:v>0.27083333333333331</c:v>
                </c:pt>
              </c:numCache>
            </c:numRef>
          </c:xVal>
          <c:yVal>
            <c:numRef>
              <c:f>'H2 Grid Data'!$D$34:$F$34</c:f>
              <c:numCache>
                <c:formatCode>0.00</c:formatCode>
                <c:ptCount val="3"/>
                <c:pt idx="0">
                  <c:v>0.11499999999999999</c:v>
                </c:pt>
                <c:pt idx="1">
                  <c:v>8.3333333333333329E-2</c:v>
                </c:pt>
                <c:pt idx="2">
                  <c:v>7.9166666666666663E-2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C922-4201-99AC-BF2383D3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27069520"/>
        <c:axId val="1227066192"/>
      </c:scatterChart>
      <c:valAx>
        <c:axId val="1227069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a-DK"/>
                  <a:t>GW/inch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DK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DK"/>
          </a:p>
        </c:txPr>
        <c:crossAx val="1227066192"/>
        <c:crosses val="autoZero"/>
        <c:crossBetween val="midCat"/>
      </c:valAx>
      <c:valAx>
        <c:axId val="1227066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a-DK"/>
                  <a:t>MDKK/km/inch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DK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DK"/>
          </a:p>
        </c:txPr>
        <c:crossAx val="12270695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146762904636918"/>
          <c:y val="0.38020778652668419"/>
          <c:w val="0.15019903762029746"/>
          <c:h val="0.156251093613298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DK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DK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 dir="row">_xlchart.v1.2</cx:f>
      </cx:numDim>
    </cx:data>
  </cx:chartData>
  <cx:chart>
    <cx:plotArea>
      <cx:plotAreaRegion>
        <cx:series layoutId="clusteredColumn" uniqueId="{093D6EA8-0A60-46BC-9E58-DAA3F43A1A4D}">
          <cx:dataId val="0"/>
          <cx:layoutPr>
            <cx:binning intervalClosed="r">
              <cx:binCount val="23"/>
            </cx:binning>
          </cx:layoutPr>
        </cx:series>
      </cx:plotAreaRegion>
      <cx:axis id="0">
        <cx:catScaling gapWidth="0"/>
        <cx:title>
          <cx:tx>
            <cx:txData>
              <cx:v>MWh/t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600"/>
              </a:pPr>
              <a:r>
                <a:rPr lang="en-US" sz="16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MWh/t</a:t>
              </a:r>
            </a:p>
          </cx:txPr>
        </cx:title>
        <cx:tickLabels/>
        <cx:txPr>
          <a:bodyPr vertOverflow="overflow" horzOverflow="overflow" wrap="square" lIns="0" tIns="0" rIns="0" bIns="0"/>
          <a:lstStyle/>
          <a:p>
            <a:pPr algn="ctr" rtl="0">
              <a:defRPr sz="1100" b="0" i="0">
                <a:solidFill>
                  <a:srgbClr val="595959"/>
                </a:solidFill>
                <a:latin typeface="Calibri" panose="020F0502020204030204" pitchFamily="34" charset="0"/>
                <a:ea typeface="Calibri" panose="020F0502020204030204" pitchFamily="34" charset="0"/>
                <a:cs typeface="Calibri" panose="020F0502020204030204" pitchFamily="34" charset="0"/>
              </a:defRPr>
            </a:pPr>
            <a:endParaRPr lang="en-DK" sz="1100"/>
          </a:p>
        </cx:txPr>
      </cx:axis>
      <cx:axis id="1">
        <cx:valScaling/>
        <cx:title>
          <cx:tx>
            <cx:txData>
              <cx:v>Frequency [#]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600"/>
              </a:pPr>
              <a:r>
                <a:rPr lang="en-US" sz="16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 [#]</a:t>
              </a:r>
            </a:p>
          </cx:txPr>
        </cx:title>
        <cx:majorGridlines/>
        <cx:tickLabels/>
        <cx:txPr>
          <a:bodyPr vertOverflow="overflow" horzOverflow="overflow" wrap="square" lIns="0" tIns="0" rIns="0" bIns="0"/>
          <a:lstStyle/>
          <a:p>
            <a:pPr algn="ctr" rtl="0">
              <a:defRPr sz="1600" b="0" i="0">
                <a:solidFill>
                  <a:srgbClr val="595959"/>
                </a:solidFill>
                <a:latin typeface="Calibri" panose="020F0502020204030204" pitchFamily="34" charset="0"/>
                <a:ea typeface="Calibri" panose="020F0502020204030204" pitchFamily="34" charset="0"/>
                <a:cs typeface="Calibri" panose="020F0502020204030204" pitchFamily="34" charset="0"/>
              </a:defRPr>
            </a:pPr>
            <a:endParaRPr lang="en-DK" sz="1600"/>
          </a:p>
        </cx:txPr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 dir="row">_xlchart.v1.1</cx:f>
      </cx:numDim>
    </cx:data>
  </cx:chartData>
  <cx:chart>
    <cx:title pos="t" align="ctr" overlay="0">
      <cx:tx>
        <cx:txData>
          <cx:v>SE Weights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SE Weights</a:t>
          </a:r>
        </a:p>
      </cx:txPr>
    </cx:title>
    <cx:plotArea>
      <cx:plotAreaRegion>
        <cx:series layoutId="clusteredColumn" uniqueId="{45C4AF94-27A6-41F1-9CE7-C8A220970A9E}" formatIdx="0">
          <cx:dataId val="0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 dir="row">_xlchart.v1.0</cx:f>
      </cx:numDim>
    </cx:data>
  </cx:chartData>
  <cx:chart>
    <cx:title pos="t" align="ctr" overlay="0">
      <cx:tx>
        <cx:txData>
          <cx:v>DK Weights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DK Weights</a:t>
          </a:r>
        </a:p>
      </cx:txPr>
    </cx:title>
    <cx:plotArea>
      <cx:plotAreaRegion>
        <cx:series layoutId="clusteredColumn" uniqueId="{BEDB3F02-69EB-46CD-8072-24033EA6D99F}" formatIdx="0">
          <cx:dataId val="0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jpe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136</xdr:row>
      <xdr:rowOff>106457</xdr:rowOff>
    </xdr:from>
    <xdr:to>
      <xdr:col>4</xdr:col>
      <xdr:colOff>39220</xdr:colOff>
      <xdr:row>149</xdr:row>
      <xdr:rowOff>104361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F4DDAF-43F6-413B-5A28-F734D736C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9588" y="24490457"/>
          <a:ext cx="5098677" cy="2323966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1905001</xdr:colOff>
      <xdr:row>137</xdr:row>
      <xdr:rowOff>142272</xdr:rowOff>
    </xdr:from>
    <xdr:to>
      <xdr:col>8</xdr:col>
      <xdr:colOff>856409</xdr:colOff>
      <xdr:row>148</xdr:row>
      <xdr:rowOff>163319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0B10D8A-7E01-1880-D0FB-B58DF0556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82236" y="24705566"/>
          <a:ext cx="5210735" cy="1993282"/>
        </a:xfrm>
        <a:prstGeom prst="rect">
          <a:avLst/>
        </a:prstGeom>
      </xdr:spPr>
    </xdr:pic>
    <xdr:clientData/>
  </xdr:twoCellAnchor>
  <xdr:twoCellAnchor editAs="oneCell">
    <xdr:from>
      <xdr:col>2</xdr:col>
      <xdr:colOff>683559</xdr:colOff>
      <xdr:row>148</xdr:row>
      <xdr:rowOff>134471</xdr:rowOff>
    </xdr:from>
    <xdr:to>
      <xdr:col>7</xdr:col>
      <xdr:colOff>545153</xdr:colOff>
      <xdr:row>162</xdr:row>
      <xdr:rowOff>38910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88A4B12-C99F-6CCD-5024-2A518A2B5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06221" y="26670000"/>
          <a:ext cx="6433844" cy="2409795"/>
        </a:xfrm>
        <a:prstGeom prst="rect">
          <a:avLst/>
        </a:prstGeom>
      </xdr:spPr>
    </xdr:pic>
    <xdr:clientData/>
  </xdr:twoCellAnchor>
  <xdr:twoCellAnchor editAs="oneCell">
    <xdr:from>
      <xdr:col>8</xdr:col>
      <xdr:colOff>240086</xdr:colOff>
      <xdr:row>195</xdr:row>
      <xdr:rowOff>116821</xdr:rowOff>
    </xdr:from>
    <xdr:to>
      <xdr:col>16</xdr:col>
      <xdr:colOff>591430</xdr:colOff>
      <xdr:row>203</xdr:row>
      <xdr:rowOff>74801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9D206B-A844-89FE-19F1-ACA52E9D9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15027" y="35079174"/>
          <a:ext cx="7652817" cy="13875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100013</xdr:colOff>
      <xdr:row>3</xdr:row>
      <xdr:rowOff>161925</xdr:rowOff>
    </xdr:from>
    <xdr:to>
      <xdr:col>15</xdr:col>
      <xdr:colOff>652873</xdr:colOff>
      <xdr:row>21</xdr:row>
      <xdr:rowOff>171450</xdr:rowOff>
    </xdr:to>
    <xdr:pic>
      <xdr:nvPicPr>
        <xdr:cNvPr id="2" name="Picture 1" descr="Tabel 3. Kapacitet og tryk for eksempler på både nye og konverterede brintrødedninger ved &#10;forskellige rørstørrelser. &#10;Kilde: Extending the European Hydrogen Backbone, april 2021. &#10;Rørstørrelse &#10;Tommer Mm &#10;Ny eller &#10;konverteret &#10;rørlednin &#10;Ny &#10;48 &#10;36 &#10;20 &#10;1200 &#10;Ny &#10;Konverteret &#10;Ny &#10;Konverteret &#10;Kapacitet &#10;GW Hz (LHV) &#10;13 &#10;13 &#10;4,7 &#10;3,6 &#10;1,2 &#10;1,2 &#10;Injektionstryk &#10;bar &#10;40 &#10;30 &#10;Driftstryk &#10;80 &#10;50 ">
          <a:extLst>
            <a:ext uri="{FF2B5EF4-FFF2-40B4-BE49-F238E27FC236}">
              <a16:creationId xmlns:a16="http://schemas.microsoft.com/office/drawing/2014/main" id="{9B0E6284-EC43-464D-93FD-1911D4DE8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704850"/>
          <a:ext cx="6296025" cy="3267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</xdr:row>
      <xdr:rowOff>114300</xdr:rowOff>
    </xdr:from>
    <xdr:to>
      <xdr:col>6</xdr:col>
      <xdr:colOff>410962</xdr:colOff>
      <xdr:row>21</xdr:row>
      <xdr:rowOff>133350</xdr:rowOff>
    </xdr:to>
    <xdr:pic>
      <xdr:nvPicPr>
        <xdr:cNvPr id="3" name="Picture 2" descr="Tabel 2. Investeringsomkostning af ny brintinfrastruktur sammenlignet med konvertering af &#10;eksisterende infrastruktur. &#10;Kilde: Extending the European Hydrogen Backbone, april 2021. &#10;Pris estimat [mio. DKK pr. km] &#10;CAPEX &#10;Ny radedning &#10;CAPEX &#10;Konvertering &#10;af rodedning &#10;Medium &#10;Medium &#10;Stor &#10;Rordiameter &#10;&lt; 28 tornmer &#10;28-37 tommer &#10;&gt; 37 tommer &#10;&lt; 28 tornmer &#10;28-37 &#10;&gt; 37 tommer &#10;10,5 &#10;15,0 &#10;18,8 &#10;1,5 &#10;2,3 &#10;Medium &#10;11,3 &#10;16,5 &#10;21,0 &#10;2,3 &#10;3,0 &#10;3,8 &#10;Haj &#10;13,5 &#10;20,3 &#10;25,5 &#10;3,8 &#10;3,8 &#10;4,5 &#10;% af CAPEX &#10;for ny &#10;rorledning &#10;(medium) &#10;18% &#10;18% ">
          <a:extLst>
            <a:ext uri="{FF2B5EF4-FFF2-40B4-BE49-F238E27FC236}">
              <a16:creationId xmlns:a16="http://schemas.microsoft.com/office/drawing/2014/main" id="{B260A947-BAC2-4DBF-85DD-A1579656DD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225" y="476250"/>
          <a:ext cx="6143625" cy="3457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285749</xdr:colOff>
      <xdr:row>26</xdr:row>
      <xdr:rowOff>28574</xdr:rowOff>
    </xdr:from>
    <xdr:to>
      <xdr:col>13</xdr:col>
      <xdr:colOff>323849</xdr:colOff>
      <xdr:row>41</xdr:row>
      <xdr:rowOff>57149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2BF2E165-EFAC-4F6E-AC1A-66D03D543E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510887</xdr:colOff>
      <xdr:row>2</xdr:row>
      <xdr:rowOff>112568</xdr:rowOff>
    </xdr:from>
    <xdr:to>
      <xdr:col>28</xdr:col>
      <xdr:colOff>583375</xdr:colOff>
      <xdr:row>22</xdr:row>
      <xdr:rowOff>20949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662CD5-A242-4C02-9BDC-CCB11F5AC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23274" y="476250"/>
          <a:ext cx="7239000" cy="3545199"/>
        </a:xfrm>
        <a:prstGeom prst="rect">
          <a:avLst/>
        </a:prstGeom>
      </xdr:spPr>
    </xdr:pic>
    <xdr:clientData/>
  </xdr:twoCellAnchor>
  <xdr:twoCellAnchor editAs="oneCell">
    <xdr:from>
      <xdr:col>18</xdr:col>
      <xdr:colOff>620791</xdr:colOff>
      <xdr:row>22</xdr:row>
      <xdr:rowOff>24479</xdr:rowOff>
    </xdr:from>
    <xdr:to>
      <xdr:col>29</xdr:col>
      <xdr:colOff>1802</xdr:colOff>
      <xdr:row>42</xdr:row>
      <xdr:rowOff>115008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B7F024-A047-4E9A-ABF9-201D20ABF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132159" y="3968950"/>
          <a:ext cx="7217723" cy="3676411"/>
        </a:xfrm>
        <a:prstGeom prst="rect">
          <a:avLst/>
        </a:prstGeom>
      </xdr:spPr>
    </xdr:pic>
    <xdr:clientData/>
  </xdr:twoCellAnchor>
  <xdr:twoCellAnchor editAs="oneCell">
    <xdr:from>
      <xdr:col>29</xdr:col>
      <xdr:colOff>166688</xdr:colOff>
      <xdr:row>2</xdr:row>
      <xdr:rowOff>47626</xdr:rowOff>
    </xdr:from>
    <xdr:to>
      <xdr:col>40</xdr:col>
      <xdr:colOff>116680</xdr:colOff>
      <xdr:row>22</xdr:row>
      <xdr:rowOff>154689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AFB7B64-8608-4FD9-BCF2-FB0E09602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38221" y="404814"/>
          <a:ext cx="7012780" cy="367417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83765</xdr:colOff>
      <xdr:row>16</xdr:row>
      <xdr:rowOff>86005</xdr:rowOff>
    </xdr:from>
    <xdr:to>
      <xdr:col>10</xdr:col>
      <xdr:colOff>679916</xdr:colOff>
      <xdr:row>36</xdr:row>
      <xdr:rowOff>52387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9EA3AB3-0600-4CC4-A42E-ECEACE08858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79365" y="2981605"/>
              <a:ext cx="6630239" cy="358588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DK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47</xdr:col>
      <xdr:colOff>378959</xdr:colOff>
      <xdr:row>83</xdr:row>
      <xdr:rowOff>82323</xdr:rowOff>
    </xdr:from>
    <xdr:to>
      <xdr:col>59</xdr:col>
      <xdr:colOff>408893</xdr:colOff>
      <xdr:row>108</xdr:row>
      <xdr:rowOff>9525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9BD1DF24-919F-4161-96EA-D6417214C3D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712697" y="15103248"/>
              <a:ext cx="10197871" cy="445157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DK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60</xdr:col>
      <xdr:colOff>161243</xdr:colOff>
      <xdr:row>83</xdr:row>
      <xdr:rowOff>95930</xdr:rowOff>
    </xdr:from>
    <xdr:to>
      <xdr:col>72</xdr:col>
      <xdr:colOff>598714</xdr:colOff>
      <xdr:row>107</xdr:row>
      <xdr:rowOff>168047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F2DC4F3-BE56-46B9-9D6F-1DDF38C603B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315381" y="15116855"/>
              <a:ext cx="9686246" cy="441551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DK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822502</xdr:colOff>
      <xdr:row>202</xdr:row>
      <xdr:rowOff>18512</xdr:rowOff>
    </xdr:from>
    <xdr:to>
      <xdr:col>9</xdr:col>
      <xdr:colOff>147965</xdr:colOff>
      <xdr:row>224</xdr:row>
      <xdr:rowOff>160473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A1E01B7-2E64-4E0C-9D63-8FA03C848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2502" y="36575462"/>
          <a:ext cx="7407426" cy="412341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870857</xdr:colOff>
      <xdr:row>174</xdr:row>
      <xdr:rowOff>102053</xdr:rowOff>
    </xdr:from>
    <xdr:to>
      <xdr:col>18</xdr:col>
      <xdr:colOff>646339</xdr:colOff>
      <xdr:row>206</xdr:row>
      <xdr:rowOff>153292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5C87A87-4EE9-4297-9386-D9EC775E1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4876" y="19757572"/>
          <a:ext cx="5061858" cy="5924762"/>
        </a:xfrm>
        <a:prstGeom prst="rect">
          <a:avLst/>
        </a:prstGeom>
      </xdr:spPr>
    </xdr:pic>
    <xdr:clientData/>
  </xdr:twoCellAnchor>
  <xdr:twoCellAnchor editAs="oneCell">
    <xdr:from>
      <xdr:col>18</xdr:col>
      <xdr:colOff>559131</xdr:colOff>
      <xdr:row>174</xdr:row>
      <xdr:rowOff>115660</xdr:rowOff>
    </xdr:from>
    <xdr:to>
      <xdr:col>22</xdr:col>
      <xdr:colOff>791532</xdr:colOff>
      <xdr:row>206</xdr:row>
      <xdr:rowOff>122463</xdr:rowOff>
    </xdr:to>
    <xdr:pic>
      <xdr:nvPicPr>
        <xdr:cNvPr id="3" name="Picture 2" descr="Illustration of the Scandinavian Nord Pool price areas with external trade to">
          <a:extLst>
            <a:ext uri="{FF2B5EF4-FFF2-40B4-BE49-F238E27FC236}">
              <a16:creationId xmlns:a16="http://schemas.microsoft.com/office/drawing/2014/main" id="{ECE518AA-682A-430B-AF93-07C3CA294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09524" y="19771179"/>
          <a:ext cx="4466263" cy="5885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418110</xdr:colOff>
      <xdr:row>210</xdr:row>
      <xdr:rowOff>78552</xdr:rowOff>
    </xdr:from>
    <xdr:to>
      <xdr:col>8</xdr:col>
      <xdr:colOff>637681</xdr:colOff>
      <xdr:row>222</xdr:row>
      <xdr:rowOff>35834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A51AF6-0428-4A48-BCF0-E481987DC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8110" y="25899961"/>
          <a:ext cx="7799367" cy="2139373"/>
        </a:xfrm>
        <a:prstGeom prst="rect">
          <a:avLst/>
        </a:prstGeom>
      </xdr:spPr>
    </xdr:pic>
    <xdr:clientData/>
  </xdr:twoCellAnchor>
  <xdr:twoCellAnchor editAs="oneCell">
    <xdr:from>
      <xdr:col>0</xdr:col>
      <xdr:colOff>441613</xdr:colOff>
      <xdr:row>222</xdr:row>
      <xdr:rowOff>60614</xdr:rowOff>
    </xdr:from>
    <xdr:to>
      <xdr:col>8</xdr:col>
      <xdr:colOff>611704</xdr:colOff>
      <xdr:row>236</xdr:row>
      <xdr:rowOff>10319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1D7E6F-152F-4263-BB25-B14AA0147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1613" y="40054408"/>
          <a:ext cx="7773283" cy="2459823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236</xdr:row>
      <xdr:rowOff>-1</xdr:rowOff>
    </xdr:from>
    <xdr:to>
      <xdr:col>8</xdr:col>
      <xdr:colOff>639848</xdr:colOff>
      <xdr:row>242</xdr:row>
      <xdr:rowOff>95249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D9FAA4A-EB1C-47AD-B56C-66668A982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76250" y="30549272"/>
          <a:ext cx="7738632" cy="118629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646663</xdr:colOff>
      <xdr:row>185</xdr:row>
      <xdr:rowOff>170150</xdr:rowOff>
    </xdr:from>
    <xdr:to>
      <xdr:col>8</xdr:col>
      <xdr:colOff>27174</xdr:colOff>
      <xdr:row>218</xdr:row>
      <xdr:rowOff>10502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38A23D-E889-4A19-AB14-ABF19CB2B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6663" y="34157591"/>
          <a:ext cx="4900249" cy="575229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11205</xdr:colOff>
      <xdr:row>5</xdr:row>
      <xdr:rowOff>11206</xdr:rowOff>
    </xdr:from>
    <xdr:to>
      <xdr:col>6</xdr:col>
      <xdr:colOff>201705</xdr:colOff>
      <xdr:row>11</xdr:row>
      <xdr:rowOff>84387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A820A74-B501-4541-B87C-D21D2045F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1146" y="907677"/>
          <a:ext cx="3440206" cy="1148945"/>
        </a:xfrm>
        <a:prstGeom prst="rect">
          <a:avLst/>
        </a:prstGeom>
      </xdr:spPr>
    </xdr:pic>
    <xdr:clientData/>
  </xdr:twoCellAnchor>
  <xdr:twoCellAnchor editAs="oneCell">
    <xdr:from>
      <xdr:col>1</xdr:col>
      <xdr:colOff>33618</xdr:colOff>
      <xdr:row>30</xdr:row>
      <xdr:rowOff>50427</xdr:rowOff>
    </xdr:from>
    <xdr:to>
      <xdr:col>7</xdr:col>
      <xdr:colOff>521774</xdr:colOff>
      <xdr:row>36</xdr:row>
      <xdr:rowOff>175835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C66065-3A54-4C19-9134-B08A73D01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5429251"/>
          <a:ext cx="4387803" cy="1201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50426</xdr:rowOff>
    </xdr:from>
    <xdr:to>
      <xdr:col>7</xdr:col>
      <xdr:colOff>535781</xdr:colOff>
      <xdr:row>51</xdr:row>
      <xdr:rowOff>6806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1A1E12-026D-4F1A-BAE0-37EBF50F8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9941" y="7580779"/>
          <a:ext cx="4435428" cy="852851"/>
        </a:xfrm>
        <a:prstGeom prst="rect">
          <a:avLst/>
        </a:prstGeom>
      </xdr:spPr>
    </xdr:pic>
    <xdr:clientData/>
  </xdr:twoCellAnchor>
  <xdr:twoCellAnchor editAs="oneCell">
    <xdr:from>
      <xdr:col>1</xdr:col>
      <xdr:colOff>679</xdr:colOff>
      <xdr:row>63</xdr:row>
      <xdr:rowOff>2722</xdr:rowOff>
    </xdr:from>
    <xdr:to>
      <xdr:col>8</xdr:col>
      <xdr:colOff>154100</xdr:colOff>
      <xdr:row>67</xdr:row>
      <xdr:rowOff>166434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6B0C778-C951-4D9B-9DEC-BDF396D2D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7019" y="11208205"/>
          <a:ext cx="4677795" cy="898497"/>
        </a:xfrm>
        <a:prstGeom prst="rect">
          <a:avLst/>
        </a:prstGeom>
      </xdr:spPr>
    </xdr:pic>
    <xdr:clientData/>
  </xdr:twoCellAnchor>
  <xdr:twoCellAnchor editAs="oneCell">
    <xdr:from>
      <xdr:col>0</xdr:col>
      <xdr:colOff>632733</xdr:colOff>
      <xdr:row>80</xdr:row>
      <xdr:rowOff>-1</xdr:rowOff>
    </xdr:from>
    <xdr:to>
      <xdr:col>8</xdr:col>
      <xdr:colOff>178102</xdr:colOff>
      <xdr:row>88</xdr:row>
      <xdr:rowOff>95248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C91D393-67E9-4CF0-ABAE-1423E7D9E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2733" y="14144625"/>
          <a:ext cx="4716083" cy="15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6804</xdr:colOff>
      <xdr:row>100</xdr:row>
      <xdr:rowOff>6804</xdr:rowOff>
    </xdr:from>
    <xdr:to>
      <xdr:col>8</xdr:col>
      <xdr:colOff>74840</xdr:colOff>
      <xdr:row>111</xdr:row>
      <xdr:rowOff>64234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BA410BD-8F64-4A38-8229-E0C6B38D1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3144" y="17457965"/>
          <a:ext cx="4592410" cy="2078091"/>
        </a:xfrm>
        <a:prstGeom prst="rect">
          <a:avLst/>
        </a:prstGeom>
      </xdr:spPr>
    </xdr:pic>
    <xdr:clientData/>
  </xdr:twoCellAnchor>
  <xdr:twoCellAnchor editAs="oneCell">
    <xdr:from>
      <xdr:col>1</xdr:col>
      <xdr:colOff>6805</xdr:colOff>
      <xdr:row>122</xdr:row>
      <xdr:rowOff>81642</xdr:rowOff>
    </xdr:from>
    <xdr:to>
      <xdr:col>8</xdr:col>
      <xdr:colOff>102054</xdr:colOff>
      <xdr:row>132</xdr:row>
      <xdr:rowOff>2565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98E6DC5-1FF0-44B5-B28A-9A5DDD77D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3145" y="22492606"/>
          <a:ext cx="4619623" cy="1753487"/>
        </a:xfrm>
        <a:prstGeom prst="rect">
          <a:avLst/>
        </a:prstGeom>
      </xdr:spPr>
    </xdr:pic>
    <xdr:clientData/>
  </xdr:twoCellAnchor>
  <xdr:twoCellAnchor editAs="oneCell">
    <xdr:from>
      <xdr:col>1</xdr:col>
      <xdr:colOff>32318</xdr:colOff>
      <xdr:row>111</xdr:row>
      <xdr:rowOff>54430</xdr:rowOff>
    </xdr:from>
    <xdr:to>
      <xdr:col>8</xdr:col>
      <xdr:colOff>54429</xdr:colOff>
      <xdr:row>122</xdr:row>
      <xdr:rowOff>84181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6531900-8458-4D2E-B654-4B72C7179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8658" y="20444734"/>
          <a:ext cx="4546485" cy="2050411"/>
        </a:xfrm>
        <a:prstGeom prst="rect">
          <a:avLst/>
        </a:prstGeom>
      </xdr:spPr>
    </xdr:pic>
    <xdr:clientData/>
  </xdr:twoCellAnchor>
  <xdr:twoCellAnchor editAs="oneCell">
    <xdr:from>
      <xdr:col>0</xdr:col>
      <xdr:colOff>638734</xdr:colOff>
      <xdr:row>143</xdr:row>
      <xdr:rowOff>10356</xdr:rowOff>
    </xdr:from>
    <xdr:to>
      <xdr:col>8</xdr:col>
      <xdr:colOff>145677</xdr:colOff>
      <xdr:row>146</xdr:row>
      <xdr:rowOff>91533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C553E19-0510-4D5B-8A05-C9C040340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38734" y="25649415"/>
          <a:ext cx="4706472" cy="619059"/>
        </a:xfrm>
        <a:prstGeom prst="rect">
          <a:avLst/>
        </a:prstGeom>
      </xdr:spPr>
    </xdr:pic>
    <xdr:clientData/>
  </xdr:twoCellAnchor>
  <xdr:twoCellAnchor editAs="oneCell">
    <xdr:from>
      <xdr:col>1</xdr:col>
      <xdr:colOff>5603</xdr:colOff>
      <xdr:row>157</xdr:row>
      <xdr:rowOff>12254</xdr:rowOff>
    </xdr:from>
    <xdr:to>
      <xdr:col>8</xdr:col>
      <xdr:colOff>125538</xdr:colOff>
      <xdr:row>159</xdr:row>
      <xdr:rowOff>117887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1981763-BE49-432E-80A7-68E9885C8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5544" y="28161430"/>
          <a:ext cx="4669523" cy="464222"/>
        </a:xfrm>
        <a:prstGeom prst="rect">
          <a:avLst/>
        </a:prstGeom>
      </xdr:spPr>
    </xdr:pic>
    <xdr:clientData/>
  </xdr:twoCellAnchor>
  <xdr:twoCellAnchor editAs="oneCell">
    <xdr:from>
      <xdr:col>1</xdr:col>
      <xdr:colOff>14268</xdr:colOff>
      <xdr:row>159</xdr:row>
      <xdr:rowOff>123263</xdr:rowOff>
    </xdr:from>
    <xdr:to>
      <xdr:col>8</xdr:col>
      <xdr:colOff>140074</xdr:colOff>
      <xdr:row>175</xdr:row>
      <xdr:rowOff>125606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5E0C5BB-4C0B-41E4-9167-7CE862D39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4209" y="28631028"/>
          <a:ext cx="4675394" cy="287104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19012edc62c54977/Desktop/EI_Datasdhdgfh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conomic"/>
      <sheetName val="Technology Data"/>
      <sheetName val="H2 Grid Data"/>
      <sheetName val="Annualised Costs"/>
      <sheetName val="Demands"/>
      <sheetName val="Biomass Costs"/>
      <sheetName val="Biomass Potentials"/>
      <sheetName val="Transport"/>
      <sheetName val="Distribution of Fuels"/>
    </sheetNames>
    <sheetDataSet>
      <sheetData sheetId="0"/>
      <sheetData sheetId="1"/>
      <sheetData sheetId="2"/>
      <sheetData sheetId="3"/>
      <sheetData sheetId="4"/>
      <sheetData sheetId="5">
        <row r="64">
          <cell r="D64" t="str">
            <v>DK2-NO2</v>
          </cell>
          <cell r="E64">
            <v>502.84273384464103</v>
          </cell>
          <cell r="F64">
            <v>166.54151344934508</v>
          </cell>
          <cell r="G64">
            <v>2165.039674841486</v>
          </cell>
        </row>
        <row r="65">
          <cell r="D65" t="str">
            <v>DK2-SE1</v>
          </cell>
          <cell r="E65">
            <v>1323.6410023793699</v>
          </cell>
          <cell r="F65">
            <v>438.3898999880472</v>
          </cell>
          <cell r="G65">
            <v>5699.0686998446135</v>
          </cell>
        </row>
        <row r="66">
          <cell r="D66" t="str">
            <v>DK2-SE4</v>
          </cell>
          <cell r="E66">
            <v>222.22307201755001</v>
          </cell>
          <cell r="F66">
            <v>73.600281452212556</v>
          </cell>
          <cell r="G66">
            <v>956.80365887876326</v>
          </cell>
        </row>
        <row r="67">
          <cell r="D67" t="str">
            <v>DK2-DK1</v>
          </cell>
          <cell r="E67">
            <v>179.41771716434101</v>
          </cell>
          <cell r="F67">
            <v>59.423147924829735</v>
          </cell>
          <cell r="G67">
            <v>772.50092302278654</v>
          </cell>
        </row>
        <row r="68">
          <cell r="D68" t="str">
            <v>DK2-NO5</v>
          </cell>
          <cell r="E68">
            <v>722.32373510159596</v>
          </cell>
          <cell r="F68">
            <v>239.23362106564855</v>
          </cell>
          <cell r="G68">
            <v>3110.0370738534311</v>
          </cell>
        </row>
        <row r="69">
          <cell r="D69" t="str">
            <v>DK2-NO1</v>
          </cell>
          <cell r="E69">
            <v>615.88484192637702</v>
          </cell>
          <cell r="F69">
            <v>203.98105964601604</v>
          </cell>
          <cell r="G69">
            <v>2651.7537753982083</v>
          </cell>
        </row>
        <row r="70">
          <cell r="D70" t="str">
            <v>DK2-NO4</v>
          </cell>
          <cell r="E70">
            <v>1549.46810375769</v>
          </cell>
          <cell r="F70">
            <v>513.1838359645468</v>
          </cell>
          <cell r="G70">
            <v>6671.3898675391083</v>
          </cell>
        </row>
        <row r="71">
          <cell r="D71" t="str">
            <v>DK2-NO3</v>
          </cell>
          <cell r="E71">
            <v>873.99281013959296</v>
          </cell>
          <cell r="F71">
            <v>289.46641871823311</v>
          </cell>
          <cell r="G71">
            <v>3763.0634433370305</v>
          </cell>
        </row>
        <row r="72">
          <cell r="D72" t="str">
            <v>DK2-SE2</v>
          </cell>
          <cell r="E72">
            <v>922.122908134196</v>
          </cell>
          <cell r="F72">
            <v>305.40710717404568</v>
          </cell>
          <cell r="G72">
            <v>3970.2923932625936</v>
          </cell>
        </row>
        <row r="73">
          <cell r="D73" t="str">
            <v>DK2-SE3</v>
          </cell>
          <cell r="E73">
            <v>466.46225705574096</v>
          </cell>
          <cell r="F73">
            <v>154.49229953686137</v>
          </cell>
          <cell r="G73">
            <v>2008.3998939791977</v>
          </cell>
        </row>
        <row r="74">
          <cell r="D74" t="str">
            <v>DK1-NO2</v>
          </cell>
          <cell r="E74">
            <v>363.08958113641501</v>
          </cell>
          <cell r="F74">
            <v>120.25526927238063</v>
          </cell>
          <cell r="G74">
            <v>1563.3185005409482</v>
          </cell>
        </row>
        <row r="75">
          <cell r="D75" t="str">
            <v>DK1-SE1</v>
          </cell>
          <cell r="E75">
            <v>1294.26352159159</v>
          </cell>
          <cell r="F75">
            <v>428.66007835113453</v>
          </cell>
          <cell r="G75">
            <v>5572.5810185647488</v>
          </cell>
        </row>
        <row r="76">
          <cell r="D76" t="str">
            <v>DK1-DK2</v>
          </cell>
          <cell r="E76">
            <v>179.41771716434101</v>
          </cell>
          <cell r="F76">
            <v>59.423147924829735</v>
          </cell>
          <cell r="G76">
            <v>772.50092302278654</v>
          </cell>
        </row>
        <row r="77">
          <cell r="D77" t="str">
            <v>DK1-SE4</v>
          </cell>
          <cell r="E77">
            <v>333.76124203193899</v>
          </cell>
          <cell r="F77">
            <v>110.54172336097817</v>
          </cell>
          <cell r="G77">
            <v>1437.0424036927161</v>
          </cell>
        </row>
        <row r="78">
          <cell r="D78" t="str">
            <v>DK1-NO5</v>
          </cell>
          <cell r="E78">
            <v>588.04891917504995</v>
          </cell>
          <cell r="F78">
            <v>194.76180203077649</v>
          </cell>
          <cell r="G78">
            <v>2531.9034264000943</v>
          </cell>
        </row>
        <row r="79">
          <cell r="D79" t="str">
            <v>DK1-NO1</v>
          </cell>
          <cell r="E79">
            <v>527.55074433005495</v>
          </cell>
          <cell r="F79">
            <v>174.72480652211416</v>
          </cell>
          <cell r="G79">
            <v>2271.4224847874843</v>
          </cell>
        </row>
        <row r="80">
          <cell r="D80" t="str">
            <v>DK1-NO4</v>
          </cell>
          <cell r="E80">
            <v>1511.2790396215998</v>
          </cell>
          <cell r="F80">
            <v>500.53561792267379</v>
          </cell>
          <cell r="G80">
            <v>6506.9630329947595</v>
          </cell>
        </row>
        <row r="81">
          <cell r="D81" t="str">
            <v>DK1-NO3</v>
          </cell>
          <cell r="E81">
            <v>784.04879089354006</v>
          </cell>
          <cell r="F81">
            <v>259.67695954394043</v>
          </cell>
          <cell r="G81">
            <v>3375.8004740712254</v>
          </cell>
        </row>
        <row r="82">
          <cell r="D82" t="str">
            <v>DK1-SE2</v>
          </cell>
          <cell r="E82">
            <v>887.50805596975295</v>
          </cell>
          <cell r="F82">
            <v>293.94266813718212</v>
          </cell>
          <cell r="G82">
            <v>3821.2546857833677</v>
          </cell>
        </row>
        <row r="83">
          <cell r="D83" t="str">
            <v>DK1-SE3</v>
          </cell>
          <cell r="E83">
            <v>471.30308865133702</v>
          </cell>
          <cell r="F83">
            <v>156.0955829613228</v>
          </cell>
          <cell r="G83">
            <v>2029.2425784971965</v>
          </cell>
        </row>
        <row r="84">
          <cell r="D84" t="str">
            <v>SE4-NO2</v>
          </cell>
          <cell r="E84">
            <v>513.42379753521698</v>
          </cell>
          <cell r="F84">
            <v>150.82337476394531</v>
          </cell>
          <cell r="G84">
            <v>1960.7038719312891</v>
          </cell>
        </row>
        <row r="85">
          <cell r="D85" t="str">
            <v>SE4-SE1</v>
          </cell>
          <cell r="E85">
            <v>1149.10038323346</v>
          </cell>
          <cell r="F85">
            <v>337.55972857866118</v>
          </cell>
          <cell r="G85">
            <v>4388.2764715225949</v>
          </cell>
        </row>
        <row r="86">
          <cell r="D86" t="str">
            <v>SE4-DK2</v>
          </cell>
          <cell r="E86">
            <v>222.22307201755001</v>
          </cell>
          <cell r="F86">
            <v>65.280249635875478</v>
          </cell>
          <cell r="G86">
            <v>848.6432452663812</v>
          </cell>
        </row>
        <row r="87">
          <cell r="D87" t="str">
            <v>SE4-DK1</v>
          </cell>
          <cell r="E87">
            <v>333.76124203193899</v>
          </cell>
          <cell r="F87">
            <v>98.04570245930239</v>
          </cell>
          <cell r="G87">
            <v>1274.5941319709311</v>
          </cell>
        </row>
        <row r="88">
          <cell r="D88" t="str">
            <v>SE4-NO5</v>
          </cell>
          <cell r="E88">
            <v>699.90486363539605</v>
          </cell>
          <cell r="F88">
            <v>205.60405274153393</v>
          </cell>
          <cell r="G88">
            <v>2672.8526856399412</v>
          </cell>
        </row>
        <row r="89">
          <cell r="D89" t="str">
            <v>SE4-NO1</v>
          </cell>
          <cell r="E89">
            <v>536.33667452134296</v>
          </cell>
          <cell r="F89">
            <v>157.5542615073897</v>
          </cell>
          <cell r="G89">
            <v>2048.2053995960659</v>
          </cell>
        </row>
        <row r="90">
          <cell r="D90" t="str">
            <v>SE4-NO4</v>
          </cell>
          <cell r="E90">
            <v>1379.5794291508601</v>
          </cell>
          <cell r="F90">
            <v>405.26525310735661</v>
          </cell>
          <cell r="G90">
            <v>5268.4482903956359</v>
          </cell>
        </row>
        <row r="91">
          <cell r="D91" t="str">
            <v>SE4-NO3</v>
          </cell>
          <cell r="E91">
            <v>776.50383159743001</v>
          </cell>
          <cell r="F91">
            <v>228.10576557006101</v>
          </cell>
          <cell r="G91">
            <v>2965.374952410793</v>
          </cell>
        </row>
        <row r="92">
          <cell r="D92" t="str">
            <v>SE4-SE2</v>
          </cell>
          <cell r="E92">
            <v>761.05950916931693</v>
          </cell>
          <cell r="F92">
            <v>223.56884141357853</v>
          </cell>
          <cell r="G92">
            <v>2906.3949383765207</v>
          </cell>
        </row>
        <row r="93">
          <cell r="D93" t="str">
            <v>SE4-SE3</v>
          </cell>
          <cell r="E93">
            <v>300.172722556525</v>
          </cell>
          <cell r="F93">
            <v>88.178738978204777</v>
          </cell>
          <cell r="G93">
            <v>1146.3236067166622</v>
          </cell>
        </row>
        <row r="94">
          <cell r="D94" t="str">
            <v>SE3-NO2</v>
          </cell>
          <cell r="E94">
            <v>400.03523239481405</v>
          </cell>
          <cell r="F94">
            <v>117.51434986830056</v>
          </cell>
          <cell r="G94">
            <v>1527.6865482879073</v>
          </cell>
        </row>
        <row r="95">
          <cell r="D95" t="str">
            <v>SE3-SE1</v>
          </cell>
          <cell r="E95">
            <v>858.70005545037702</v>
          </cell>
          <cell r="F95">
            <v>252.25172828910272</v>
          </cell>
          <cell r="G95">
            <v>3279.2724677583351</v>
          </cell>
        </row>
        <row r="96">
          <cell r="D96" t="str">
            <v>SE3-DK2</v>
          </cell>
          <cell r="E96">
            <v>466.46225705574096</v>
          </cell>
          <cell r="F96">
            <v>137.02795263269445</v>
          </cell>
          <cell r="G96">
            <v>1781.3633842250279</v>
          </cell>
        </row>
        <row r="97">
          <cell r="D97" t="str">
            <v>SE3-SE4</v>
          </cell>
          <cell r="E97">
            <v>300.172722556525</v>
          </cell>
          <cell r="F97">
            <v>88.178738978204777</v>
          </cell>
          <cell r="G97">
            <v>1146.3236067166622</v>
          </cell>
        </row>
        <row r="98">
          <cell r="D98" t="str">
            <v>SE3-DK1</v>
          </cell>
          <cell r="E98">
            <v>471.30308865133702</v>
          </cell>
          <cell r="F98">
            <v>138.44999532221675</v>
          </cell>
          <cell r="G98">
            <v>1799.8499391888176</v>
          </cell>
        </row>
        <row r="99">
          <cell r="D99" t="str">
            <v>SE3-NO5</v>
          </cell>
          <cell r="E99">
            <v>503.42397296481704</v>
          </cell>
          <cell r="F99">
            <v>147.88582629814465</v>
          </cell>
          <cell r="G99">
            <v>1922.5157418758804</v>
          </cell>
        </row>
        <row r="100">
          <cell r="D100" t="str">
            <v>SE3-NO1</v>
          </cell>
          <cell r="E100">
            <v>295.54698928097599</v>
          </cell>
          <cell r="F100">
            <v>86.819883571179503</v>
          </cell>
          <cell r="G100">
            <v>1128.6584864253336</v>
          </cell>
        </row>
        <row r="101">
          <cell r="D101" t="str">
            <v>SE3-NO4</v>
          </cell>
          <cell r="E101">
            <v>1086.6346605829699</v>
          </cell>
          <cell r="F101">
            <v>319.2097978928532</v>
          </cell>
          <cell r="G101">
            <v>4149.7273726070916</v>
          </cell>
        </row>
        <row r="102">
          <cell r="D102" t="str">
            <v>SE3-NO3</v>
          </cell>
          <cell r="E102">
            <v>497.10368941215296</v>
          </cell>
          <cell r="F102">
            <v>146.02917980171404</v>
          </cell>
          <cell r="G102">
            <v>1898.3793374222826</v>
          </cell>
        </row>
        <row r="103">
          <cell r="D103" t="str">
            <v>SE3-SE2</v>
          </cell>
          <cell r="E103">
            <v>462.87289738496798</v>
          </cell>
          <cell r="F103">
            <v>135.97354233580819</v>
          </cell>
          <cell r="G103">
            <v>1767.6560503655064</v>
          </cell>
        </row>
        <row r="104">
          <cell r="D104" t="str">
            <v>SE2-NO2</v>
          </cell>
          <cell r="E104">
            <v>638.48951572877104</v>
          </cell>
          <cell r="F104">
            <v>187.56268014048376</v>
          </cell>
          <cell r="G104">
            <v>2438.314841826289</v>
          </cell>
        </row>
        <row r="105">
          <cell r="D105" t="str">
            <v>SE2-SE1</v>
          </cell>
          <cell r="E105">
            <v>406.75679060361205</v>
          </cell>
          <cell r="F105">
            <v>119.48887480771707</v>
          </cell>
          <cell r="G105">
            <v>1553.3553725003219</v>
          </cell>
        </row>
        <row r="106">
          <cell r="D106" t="str">
            <v>SE2-DK2</v>
          </cell>
          <cell r="E106">
            <v>922.122908134196</v>
          </cell>
          <cell r="F106">
            <v>270.8828254935014</v>
          </cell>
          <cell r="G106">
            <v>3521.4767314155183</v>
          </cell>
        </row>
        <row r="107">
          <cell r="D107" t="str">
            <v>SE2-SE4</v>
          </cell>
          <cell r="E107">
            <v>761.05950916931693</v>
          </cell>
          <cell r="F107">
            <v>223.56884141357853</v>
          </cell>
          <cell r="G107">
            <v>2906.3949383765207</v>
          </cell>
        </row>
        <row r="108">
          <cell r="D108" t="str">
            <v>SE2-DK1</v>
          </cell>
          <cell r="E108">
            <v>887.50805596975295</v>
          </cell>
          <cell r="F108">
            <v>260.71436652167461</v>
          </cell>
          <cell r="G108">
            <v>3389.2867647817698</v>
          </cell>
        </row>
        <row r="109">
          <cell r="D109" t="str">
            <v>SE2-NO5</v>
          </cell>
          <cell r="E109">
            <v>551.24244877605497</v>
          </cell>
          <cell r="F109">
            <v>161.93298175245388</v>
          </cell>
          <cell r="G109">
            <v>2105.1287627819006</v>
          </cell>
        </row>
        <row r="110">
          <cell r="D110" t="str">
            <v>SE2-NO1</v>
          </cell>
          <cell r="E110">
            <v>406.04557940674397</v>
          </cell>
          <cell r="F110">
            <v>119.27994940652509</v>
          </cell>
          <cell r="G110">
            <v>1550.6393422848262</v>
          </cell>
        </row>
        <row r="111">
          <cell r="D111" t="str">
            <v>SE2-NO4</v>
          </cell>
          <cell r="E111">
            <v>627.780670047748</v>
          </cell>
          <cell r="F111">
            <v>184.41684963322643</v>
          </cell>
          <cell r="G111">
            <v>2397.4190452319435</v>
          </cell>
        </row>
        <row r="112">
          <cell r="D112" t="str">
            <v>SE2-NO3</v>
          </cell>
          <cell r="E112">
            <v>294.33070056182902</v>
          </cell>
          <cell r="F112">
            <v>86.462586597042886</v>
          </cell>
          <cell r="G112">
            <v>1124.0136257615575</v>
          </cell>
        </row>
        <row r="113">
          <cell r="D113" t="str">
            <v>SE2-SE3</v>
          </cell>
          <cell r="E113">
            <v>462.87289738496798</v>
          </cell>
          <cell r="F113">
            <v>135.97354233580819</v>
          </cell>
          <cell r="G113">
            <v>1767.6560503655064</v>
          </cell>
        </row>
        <row r="114">
          <cell r="D114" t="str">
            <v>SE1-NO2</v>
          </cell>
          <cell r="E114">
            <v>1029.45202482077</v>
          </cell>
          <cell r="F114">
            <v>302.41182681134939</v>
          </cell>
          <cell r="G114">
            <v>3931.3537485475422</v>
          </cell>
        </row>
        <row r="115">
          <cell r="D115" t="str">
            <v>SE1-DK2</v>
          </cell>
          <cell r="E115">
            <v>1323.6410023793699</v>
          </cell>
          <cell r="F115">
            <v>388.83278085896364</v>
          </cell>
          <cell r="G115">
            <v>5054.8261511665278</v>
          </cell>
        </row>
        <row r="116">
          <cell r="D116" t="str">
            <v>SE1-SE4</v>
          </cell>
          <cell r="E116">
            <v>1149.10038323346</v>
          </cell>
          <cell r="F116">
            <v>337.55972857866118</v>
          </cell>
          <cell r="G116">
            <v>4388.2764715225949</v>
          </cell>
        </row>
        <row r="117">
          <cell r="D117" t="str">
            <v>SE1-DK1</v>
          </cell>
          <cell r="E117">
            <v>1294.26352159159</v>
          </cell>
          <cell r="F117">
            <v>380.20285210274545</v>
          </cell>
          <cell r="G117">
            <v>4942.6370773356912</v>
          </cell>
        </row>
        <row r="118">
          <cell r="D118" t="str">
            <v>SE1-NO5</v>
          </cell>
          <cell r="E118">
            <v>899.8076456871861</v>
          </cell>
          <cell r="F118">
            <v>264.32749399706773</v>
          </cell>
          <cell r="G118">
            <v>3436.2574219618805</v>
          </cell>
        </row>
        <row r="119">
          <cell r="D119" t="str">
            <v>SE1-NO1</v>
          </cell>
          <cell r="E119">
            <v>799.302205284754</v>
          </cell>
          <cell r="F119">
            <v>234.80301582444932</v>
          </cell>
          <cell r="G119">
            <v>3052.4392057178411</v>
          </cell>
        </row>
        <row r="120">
          <cell r="D120" t="str">
            <v>SE1-NO4</v>
          </cell>
          <cell r="E120">
            <v>232.699057975562</v>
          </cell>
          <cell r="F120">
            <v>68.357675270901083</v>
          </cell>
          <cell r="G120">
            <v>888.6497785217141</v>
          </cell>
        </row>
        <row r="121">
          <cell r="D121" t="str">
            <v>SE1-NO3</v>
          </cell>
          <cell r="E121">
            <v>608.37799139154595</v>
          </cell>
          <cell r="F121">
            <v>178.71711875118052</v>
          </cell>
          <cell r="G121">
            <v>2323.3225437653468</v>
          </cell>
        </row>
        <row r="122">
          <cell r="D122" t="str">
            <v>SE1-SE2</v>
          </cell>
          <cell r="E122">
            <v>406.75679060361205</v>
          </cell>
          <cell r="F122">
            <v>119.48887480771707</v>
          </cell>
          <cell r="G122">
            <v>1553.3553725003219</v>
          </cell>
        </row>
        <row r="123">
          <cell r="D123" t="str">
            <v>SE1-SE3</v>
          </cell>
          <cell r="E123">
            <v>858.70005545037702</v>
          </cell>
          <cell r="F123">
            <v>252.25172828910272</v>
          </cell>
          <cell r="G123">
            <v>3279.2724677583351</v>
          </cell>
        </row>
        <row r="124">
          <cell r="D124" t="str">
            <v>NO2-SE1</v>
          </cell>
          <cell r="E124">
            <v>1029.45202482077</v>
          </cell>
          <cell r="F124">
            <v>302.41182681134939</v>
          </cell>
          <cell r="G124">
            <v>3931.3537485475422</v>
          </cell>
        </row>
        <row r="125">
          <cell r="D125" t="str">
            <v>NO2-DK2</v>
          </cell>
          <cell r="E125">
            <v>502.84273384464103</v>
          </cell>
          <cell r="F125">
            <v>147.71508149420174</v>
          </cell>
          <cell r="G125">
            <v>1920.2960594246226</v>
          </cell>
        </row>
        <row r="126">
          <cell r="D126" t="str">
            <v>NO2-SE4</v>
          </cell>
          <cell r="E126">
            <v>513.42379753521698</v>
          </cell>
          <cell r="F126">
            <v>150.82337476394531</v>
          </cell>
          <cell r="G126">
            <v>1960.7038719312891</v>
          </cell>
        </row>
        <row r="127">
          <cell r="D127" t="str">
            <v>NO2-DK1</v>
          </cell>
          <cell r="E127">
            <v>363.08958113641501</v>
          </cell>
          <cell r="F127">
            <v>106.66119535463326</v>
          </cell>
          <cell r="G127">
            <v>1386.5955396102324</v>
          </cell>
        </row>
        <row r="128">
          <cell r="D128" t="str">
            <v>NO2-NO5</v>
          </cell>
          <cell r="E128">
            <v>224.95947157898601</v>
          </cell>
          <cell r="F128">
            <v>66.084094371042923</v>
          </cell>
          <cell r="G128">
            <v>859.09322682355798</v>
          </cell>
        </row>
        <row r="129">
          <cell r="D129" t="str">
            <v>NO2-NO1</v>
          </cell>
          <cell r="E129">
            <v>232.48003627347398</v>
          </cell>
          <cell r="F129">
            <v>68.293335455695711</v>
          </cell>
          <cell r="G129">
            <v>887.81336092404422</v>
          </cell>
        </row>
        <row r="130">
          <cell r="D130" t="str">
            <v>NO2-NO4</v>
          </cell>
          <cell r="E130">
            <v>1226.6213806062799</v>
          </cell>
          <cell r="F130">
            <v>360.33229676690075</v>
          </cell>
          <cell r="G130">
            <v>4684.31985796971</v>
          </cell>
        </row>
        <row r="131">
          <cell r="D131" t="str">
            <v>NO2-NO3</v>
          </cell>
          <cell r="E131">
            <v>454.154241049066</v>
          </cell>
          <cell r="F131">
            <v>133.41234985057361</v>
          </cell>
          <cell r="G131">
            <v>1734.360548057457</v>
          </cell>
        </row>
        <row r="132">
          <cell r="D132" t="str">
            <v>NO2-SE2</v>
          </cell>
          <cell r="E132">
            <v>638.48951572877104</v>
          </cell>
          <cell r="F132">
            <v>187.56268014048376</v>
          </cell>
          <cell r="G132">
            <v>2438.314841826289</v>
          </cell>
        </row>
        <row r="133">
          <cell r="D133" t="str">
            <v>NO2-SE3</v>
          </cell>
          <cell r="E133">
            <v>400.03523239481405</v>
          </cell>
          <cell r="F133">
            <v>117.51434986830056</v>
          </cell>
          <cell r="G133">
            <v>1527.6865482879073</v>
          </cell>
        </row>
        <row r="134">
          <cell r="D134" t="str">
            <v>NO1-NO2</v>
          </cell>
          <cell r="E134">
            <v>232.48003627347398</v>
          </cell>
          <cell r="F134">
            <v>68.293335455695711</v>
          </cell>
          <cell r="G134">
            <v>887.81336092404422</v>
          </cell>
        </row>
        <row r="135">
          <cell r="D135" t="str">
            <v>NO1-SE1</v>
          </cell>
          <cell r="E135">
            <v>799.302205284754</v>
          </cell>
          <cell r="F135">
            <v>234.80301582444932</v>
          </cell>
          <cell r="G135">
            <v>3052.4392057178411</v>
          </cell>
        </row>
        <row r="136">
          <cell r="D136" t="str">
            <v>NO1-DK2</v>
          </cell>
          <cell r="E136">
            <v>615.88484192637702</v>
          </cell>
          <cell r="F136">
            <v>180.9223311642925</v>
          </cell>
          <cell r="G136">
            <v>2351.9903051358024</v>
          </cell>
        </row>
        <row r="137">
          <cell r="D137" t="str">
            <v>NO1-SE4</v>
          </cell>
          <cell r="E137">
            <v>536.33667452134296</v>
          </cell>
          <cell r="F137">
            <v>157.5542615073897</v>
          </cell>
          <cell r="G137">
            <v>2048.2053995960659</v>
          </cell>
        </row>
        <row r="138">
          <cell r="D138" t="str">
            <v>NO1-DK1</v>
          </cell>
          <cell r="E138">
            <v>527.55074433005495</v>
          </cell>
          <cell r="F138">
            <v>154.97330665439694</v>
          </cell>
          <cell r="G138">
            <v>2014.6529865071602</v>
          </cell>
        </row>
        <row r="139">
          <cell r="D139" t="str">
            <v>NO1-NO5</v>
          </cell>
          <cell r="E139">
            <v>217.31429472204499</v>
          </cell>
          <cell r="F139">
            <v>63.838247217547931</v>
          </cell>
          <cell r="G139">
            <v>829.89721382812309</v>
          </cell>
        </row>
        <row r="140">
          <cell r="D140" t="str">
            <v>NO1-NO4</v>
          </cell>
          <cell r="E140">
            <v>1002.0077421276</v>
          </cell>
          <cell r="F140">
            <v>294.34979432740374</v>
          </cell>
          <cell r="G140">
            <v>3826.5473262562487</v>
          </cell>
        </row>
        <row r="141">
          <cell r="D141" t="str">
            <v>NO1-NO3</v>
          </cell>
          <cell r="E141">
            <v>259.07565540325999</v>
          </cell>
          <cell r="F141">
            <v>76.106064531261651</v>
          </cell>
          <cell r="G141">
            <v>989.37883890640148</v>
          </cell>
        </row>
        <row r="142">
          <cell r="D142" t="str">
            <v>NO1-SE2</v>
          </cell>
          <cell r="E142">
            <v>406.04557940674397</v>
          </cell>
          <cell r="F142">
            <v>119.27994940652509</v>
          </cell>
          <cell r="G142">
            <v>1550.6393422848262</v>
          </cell>
        </row>
        <row r="143">
          <cell r="D143" t="str">
            <v>NO1-SE3</v>
          </cell>
          <cell r="E143">
            <v>295.54698928097599</v>
          </cell>
          <cell r="F143">
            <v>86.819883571179503</v>
          </cell>
          <cell r="G143">
            <v>1128.6584864253336</v>
          </cell>
        </row>
        <row r="144">
          <cell r="D144" t="str">
            <v>NO5-NO2</v>
          </cell>
          <cell r="E144">
            <v>224.95947157898601</v>
          </cell>
          <cell r="F144">
            <v>66.084094371042923</v>
          </cell>
          <cell r="G144">
            <v>859.09322682355798</v>
          </cell>
        </row>
        <row r="145">
          <cell r="D145" t="str">
            <v>NO5-SE1</v>
          </cell>
          <cell r="E145">
            <v>899.8076456871861</v>
          </cell>
          <cell r="F145">
            <v>264.32749399706773</v>
          </cell>
          <cell r="G145">
            <v>3436.2574219618805</v>
          </cell>
        </row>
        <row r="146">
          <cell r="D146" t="str">
            <v>NO5-DK2</v>
          </cell>
          <cell r="E146">
            <v>722.32373510159596</v>
          </cell>
          <cell r="F146">
            <v>212.18982042344481</v>
          </cell>
          <cell r="G146">
            <v>2758.4676655047824</v>
          </cell>
        </row>
        <row r="147">
          <cell r="D147" t="str">
            <v>NO5-SE4</v>
          </cell>
          <cell r="E147">
            <v>699.90486363539605</v>
          </cell>
          <cell r="F147">
            <v>205.60405274153393</v>
          </cell>
          <cell r="G147">
            <v>2672.8526856399412</v>
          </cell>
        </row>
        <row r="148">
          <cell r="D148" t="str">
            <v>NO5-DK1</v>
          </cell>
          <cell r="E148">
            <v>588.04891917504995</v>
          </cell>
          <cell r="F148">
            <v>172.74525049686264</v>
          </cell>
          <cell r="G148">
            <v>2245.6882564592142</v>
          </cell>
        </row>
        <row r="149">
          <cell r="D149" t="str">
            <v>NO5-NO1</v>
          </cell>
          <cell r="E149">
            <v>217.31429472204499</v>
          </cell>
          <cell r="F149">
            <v>63.838247217547931</v>
          </cell>
          <cell r="G149">
            <v>829.89721382812309</v>
          </cell>
        </row>
        <row r="150">
          <cell r="D150" t="str">
            <v>NO5-NO4</v>
          </cell>
          <cell r="E150">
            <v>1073.65082345734</v>
          </cell>
          <cell r="F150">
            <v>315.39566589882816</v>
          </cell>
          <cell r="G150">
            <v>4100.143656684766</v>
          </cell>
        </row>
        <row r="151">
          <cell r="D151" t="str">
            <v>NO5-NO3</v>
          </cell>
          <cell r="E151">
            <v>291.96508176956701</v>
          </cell>
          <cell r="F151">
            <v>85.767662420628</v>
          </cell>
          <cell r="G151">
            <v>1114.979611468164</v>
          </cell>
        </row>
        <row r="152">
          <cell r="D152" t="str">
            <v>NO5-SE2</v>
          </cell>
          <cell r="E152">
            <v>551.24244877605497</v>
          </cell>
          <cell r="F152">
            <v>161.93298175245388</v>
          </cell>
          <cell r="G152">
            <v>2105.1287627819006</v>
          </cell>
        </row>
        <row r="153">
          <cell r="D153" t="str">
            <v>NO5-SE3</v>
          </cell>
          <cell r="E153">
            <v>503.42397296481704</v>
          </cell>
          <cell r="F153">
            <v>147.88582629814465</v>
          </cell>
          <cell r="G153">
            <v>1922.5157418758804</v>
          </cell>
        </row>
        <row r="154">
          <cell r="D154" t="str">
            <v>NO3-NO2</v>
          </cell>
          <cell r="E154">
            <v>454.154241049066</v>
          </cell>
          <cell r="F154">
            <v>133.41234985057361</v>
          </cell>
          <cell r="G154">
            <v>1734.360548057457</v>
          </cell>
        </row>
        <row r="155">
          <cell r="D155" t="str">
            <v>NO3-SE1</v>
          </cell>
          <cell r="E155">
            <v>608.37799139154595</v>
          </cell>
          <cell r="F155">
            <v>178.71711875118052</v>
          </cell>
          <cell r="G155">
            <v>2323.3225437653468</v>
          </cell>
        </row>
        <row r="156">
          <cell r="D156" t="str">
            <v>NO3-DK2</v>
          </cell>
          <cell r="E156">
            <v>873.99281013959296</v>
          </cell>
          <cell r="F156">
            <v>256.74412790660682</v>
          </cell>
          <cell r="G156">
            <v>3337.6736627858886</v>
          </cell>
        </row>
        <row r="157">
          <cell r="D157" t="str">
            <v>NO3-SE4</v>
          </cell>
          <cell r="E157">
            <v>776.50383159743001</v>
          </cell>
          <cell r="F157">
            <v>228.10576557006101</v>
          </cell>
          <cell r="G157">
            <v>2965.374952410793</v>
          </cell>
        </row>
        <row r="158">
          <cell r="D158" t="str">
            <v>NO3-DK1</v>
          </cell>
          <cell r="E158">
            <v>784.04879089354006</v>
          </cell>
          <cell r="F158">
            <v>230.32217281288629</v>
          </cell>
          <cell r="G158">
            <v>2994.1882465675217</v>
          </cell>
        </row>
        <row r="159">
          <cell r="D159" t="str">
            <v>NO3-NO5</v>
          </cell>
          <cell r="E159">
            <v>291.96508176956701</v>
          </cell>
          <cell r="F159">
            <v>85.767662420628</v>
          </cell>
          <cell r="G159">
            <v>1114.979611468164</v>
          </cell>
        </row>
        <row r="160">
          <cell r="D160" t="str">
            <v>NO3-NO1</v>
          </cell>
          <cell r="E160">
            <v>259.07565540325999</v>
          </cell>
          <cell r="F160">
            <v>76.106064531261651</v>
          </cell>
          <cell r="G160">
            <v>989.37883890640148</v>
          </cell>
        </row>
        <row r="161">
          <cell r="D161" t="str">
            <v>NO3-NO4</v>
          </cell>
          <cell r="E161">
            <v>784.02630675541297</v>
          </cell>
          <cell r="F161">
            <v>230.3155678724701</v>
          </cell>
          <cell r="G161">
            <v>2994.1023823421115</v>
          </cell>
        </row>
        <row r="162">
          <cell r="D162" t="str">
            <v>NO3-SE2</v>
          </cell>
          <cell r="E162">
            <v>294.33070056182902</v>
          </cell>
          <cell r="F162">
            <v>86.462586597042886</v>
          </cell>
          <cell r="G162">
            <v>1124.0136257615575</v>
          </cell>
        </row>
        <row r="163">
          <cell r="D163" t="str">
            <v>NO3-SE3</v>
          </cell>
          <cell r="E163">
            <v>497.10368941215296</v>
          </cell>
          <cell r="F163">
            <v>146.02917980171404</v>
          </cell>
          <cell r="G163">
            <v>1898.3793374222826</v>
          </cell>
        </row>
        <row r="164">
          <cell r="D164" t="str">
            <v>NO4-NO2</v>
          </cell>
          <cell r="E164">
            <v>1226.6213806062799</v>
          </cell>
          <cell r="F164">
            <v>360.33229676690075</v>
          </cell>
          <cell r="G164">
            <v>4684.31985796971</v>
          </cell>
        </row>
        <row r="165">
          <cell r="D165" t="str">
            <v>NO4-SE1</v>
          </cell>
          <cell r="E165">
            <v>232.699057975562</v>
          </cell>
          <cell r="F165">
            <v>68.357675270901083</v>
          </cell>
          <cell r="G165">
            <v>888.6497785217141</v>
          </cell>
        </row>
        <row r="166">
          <cell r="D166" t="str">
            <v>NO4-DK2</v>
          </cell>
          <cell r="E166">
            <v>1549.46810375769</v>
          </cell>
          <cell r="F166">
            <v>455.17175015985896</v>
          </cell>
          <cell r="G166">
            <v>5917.2327520781664</v>
          </cell>
        </row>
        <row r="167">
          <cell r="D167" t="str">
            <v>NO4-SE4</v>
          </cell>
          <cell r="E167">
            <v>1379.5794291508601</v>
          </cell>
          <cell r="F167">
            <v>405.26525310735661</v>
          </cell>
          <cell r="G167">
            <v>5268.4482903956359</v>
          </cell>
        </row>
        <row r="168">
          <cell r="D168" t="str">
            <v>NO4-DK1</v>
          </cell>
          <cell r="E168">
            <v>1511.2790396215998</v>
          </cell>
          <cell r="F168">
            <v>443.95333067924111</v>
          </cell>
          <cell r="G168">
            <v>5771.393298830134</v>
          </cell>
        </row>
        <row r="169">
          <cell r="D169" t="str">
            <v>NO4-NO5</v>
          </cell>
          <cell r="E169">
            <v>1073.65082345734</v>
          </cell>
          <cell r="F169">
            <v>315.39566589882816</v>
          </cell>
          <cell r="G169">
            <v>4100.143656684766</v>
          </cell>
        </row>
        <row r="170">
          <cell r="D170" t="str">
            <v>NO4-NO1</v>
          </cell>
          <cell r="E170">
            <v>1002.0077421276</v>
          </cell>
          <cell r="F170">
            <v>294.34979432740374</v>
          </cell>
          <cell r="G170">
            <v>3826.5473262562487</v>
          </cell>
        </row>
        <row r="171">
          <cell r="D171" t="str">
            <v>NO4-NO3</v>
          </cell>
          <cell r="E171">
            <v>784.02630675541297</v>
          </cell>
          <cell r="F171">
            <v>230.3155678724701</v>
          </cell>
          <cell r="G171">
            <v>2994.1023823421115</v>
          </cell>
        </row>
        <row r="172">
          <cell r="D172" t="str">
            <v>NO4-SE2</v>
          </cell>
          <cell r="E172">
            <v>627.780670047748</v>
          </cell>
          <cell r="F172">
            <v>184.41684963322643</v>
          </cell>
          <cell r="G172">
            <v>2397.4190452319435</v>
          </cell>
        </row>
        <row r="173">
          <cell r="D173" t="str">
            <v>NO4-SE3</v>
          </cell>
          <cell r="E173">
            <v>1086.6346605829699</v>
          </cell>
          <cell r="F173">
            <v>319.2097978928532</v>
          </cell>
          <cell r="G173">
            <v>4149.7273726070916</v>
          </cell>
        </row>
      </sheetData>
      <sheetData sheetId="6"/>
      <sheetData sheetId="7"/>
      <sheetData sheetId="8"/>
    </sheetDataSet>
  </externalBook>
</externalLink>
</file>

<file path=xl/pivotCache/_rels/pivotCacheDefinition1.xml.rels><?xml version="1.0" encoding="UTF-8" standalone="yes"?>
<Relationships xmlns="http://schemas.openxmlformats.org/package/2006/relationships"><Relationship Id="rId2" Type="http://schemas.openxmlformats.org/officeDocument/2006/relationships/externalLinkPath" Target="/sites/MasterThesisatSustainabilityDivision/Shared%20Documents/Data/GIS/QGIS%20computation%20example%20NUTS2%20aggregation.xlsx" TargetMode="External"/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athias Rosendal" refreshedDate="44608.012482754631" createdVersion="7" refreshedVersion="7" minRefreshableVersion="3" recordCount="32" xr:uid="{00000000-000A-0000-FFFF-FFFF00000000}">
  <cacheSource type="worksheet">
    <worksheetSource ref="A1:P33" sheet="Sheet1" r:id="rId2"/>
  </cacheSource>
  <cacheFields count="16">
    <cacheField name="fid" numFmtId="0">
      <sharedItems containsSemiMixedTypes="0" containsString="0" containsNumber="1" containsInteger="1" minValue="1" maxValue="11"/>
    </cacheField>
    <cacheField name="id" numFmtId="0">
      <sharedItems containsSemiMixedTypes="0" containsString="0" containsNumber="1" containsInteger="1" minValue="1" maxValue="11"/>
    </cacheField>
    <cacheField name="Area" numFmtId="0">
      <sharedItems count="11">
        <s v="DK2"/>
        <s v="DK1"/>
        <s v="SE4"/>
        <s v="SE3"/>
        <s v="SE2"/>
        <s v="SE1"/>
        <s v="NO2"/>
        <s v="NO1"/>
        <s v="NO5"/>
        <s v="NO3"/>
        <s v="NO4"/>
      </sharedItems>
    </cacheField>
    <cacheField name="Biomass" numFmtId="0">
      <sharedItems containsSemiMixedTypes="0" containsString="0" containsNumber="1" containsInteger="1" minValue="0" maxValue="0"/>
    </cacheField>
    <cacheField name="NUTS_ID" numFmtId="0">
      <sharedItems count="19">
        <s v="DK01"/>
        <s v="DK02"/>
        <s v="DK05"/>
        <s v="DK03"/>
        <s v="DK04"/>
        <s v="SE21"/>
        <s v="SE22"/>
        <s v="SE23"/>
        <s v="SE11"/>
        <s v="SE12"/>
        <s v="SE31"/>
        <s v="SE32"/>
        <s v="SE33"/>
        <s v="NO09"/>
        <s v="NO0A"/>
        <s v="NO08"/>
        <s v="NO02"/>
        <s v="NO06"/>
        <s v="NO07"/>
      </sharedItems>
    </cacheField>
    <cacheField name="LEVL_CODE" numFmtId="0">
      <sharedItems containsSemiMixedTypes="0" containsString="0" containsNumber="1" containsInteger="1" minValue="2" maxValue="2"/>
    </cacheField>
    <cacheField name="CNTR_CODE" numFmtId="0">
      <sharedItems/>
    </cacheField>
    <cacheField name="NAME_LATN" numFmtId="0">
      <sharedItems/>
    </cacheField>
    <cacheField name="NUTS_NAME" numFmtId="0">
      <sharedItems/>
    </cacheField>
    <cacheField name="MOUNT_TYPE" numFmtId="0">
      <sharedItems containsSemiMixedTypes="0" containsString="0" containsNumber="1" containsInteger="1" minValue="0" maxValue="0"/>
    </cacheField>
    <cacheField name="URBN_TYPE" numFmtId="0">
      <sharedItems containsSemiMixedTypes="0" containsString="0" containsNumber="1" containsInteger="1" minValue="0" maxValue="0"/>
    </cacheField>
    <cacheField name="COAST_TYPE" numFmtId="0">
      <sharedItems containsSemiMixedTypes="0" containsString="0" containsNumber="1" containsInteger="1" minValue="0" maxValue="0"/>
    </cacheField>
    <cacheField name="FID_2" numFmtId="0">
      <sharedItems/>
    </cacheField>
    <cacheField name="Biomass PJ" numFmtId="0">
      <sharedItems containsSemiMixedTypes="0" containsString="0" containsNumber="1" containsInteger="1" minValue="2" maxValue="32"/>
    </cacheField>
    <cacheField name="area_2" numFmtId="0">
      <sharedItems containsSemiMixedTypes="0" containsString="0" containsNumber="1" minValue="5.13182862113978E-2" maxValue="25.8649593425557"/>
    </cacheField>
    <cacheField name="perimeter" numFmtId="0">
      <sharedItems containsSemiMixedTypes="0" containsString="0" containsNumber="1" minValue="1.73347721846498" maxValue="124.83504861998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2">
  <r>
    <n v="1"/>
    <n v="2"/>
    <x v="0"/>
    <n v="0"/>
    <x v="0"/>
    <n v="2"/>
    <s v="DK"/>
    <s v="Hovedstaden"/>
    <s v="Hovedstaden"/>
    <n v="0"/>
    <n v="0"/>
    <n v="0"/>
    <s v="DK01"/>
    <n v="2"/>
    <n v="0.370069179999859"/>
    <n v="4.2259631209342698"/>
  </r>
  <r>
    <n v="1"/>
    <n v="2"/>
    <x v="0"/>
    <n v="0"/>
    <x v="1"/>
    <n v="2"/>
    <s v="DK"/>
    <s v="Sjælland"/>
    <s v="Sjælland"/>
    <n v="0"/>
    <n v="0"/>
    <n v="0"/>
    <s v="DK02"/>
    <n v="7"/>
    <n v="1.0251097248785701"/>
    <n v="10.3020570066074"/>
  </r>
  <r>
    <n v="2"/>
    <n v="1"/>
    <x v="1"/>
    <n v="0"/>
    <x v="2"/>
    <n v="2"/>
    <s v="DK"/>
    <s v="Nordjylland"/>
    <s v="Nordjylland"/>
    <n v="0"/>
    <n v="0"/>
    <n v="0"/>
    <s v="DK05"/>
    <n v="5"/>
    <n v="1.21800423207241"/>
    <n v="7.95469569356385"/>
  </r>
  <r>
    <n v="2"/>
    <n v="1"/>
    <x v="1"/>
    <n v="0"/>
    <x v="3"/>
    <n v="2"/>
    <s v="DK"/>
    <s v="Syddanmark"/>
    <s v="Syddanmark"/>
    <n v="0"/>
    <n v="0"/>
    <n v="0"/>
    <s v="DK03"/>
    <n v="3"/>
    <n v="1.72342488307199"/>
    <n v="12.9150893027014"/>
  </r>
  <r>
    <n v="2"/>
    <n v="1"/>
    <x v="1"/>
    <n v="0"/>
    <x v="4"/>
    <n v="2"/>
    <s v="DK"/>
    <s v="Midtjylland"/>
    <s v="Midtjylland"/>
    <n v="0"/>
    <n v="0"/>
    <n v="0"/>
    <s v="DK04"/>
    <n v="10"/>
    <n v="1.92008125340751"/>
    <n v="10.4174741812849"/>
  </r>
  <r>
    <n v="3"/>
    <n v="3"/>
    <x v="2"/>
    <n v="0"/>
    <x v="5"/>
    <n v="2"/>
    <s v="SE"/>
    <s v="Småland med öarna"/>
    <s v="Småland med öarna"/>
    <n v="0"/>
    <n v="0"/>
    <n v="0"/>
    <s v="SE21"/>
    <n v="2"/>
    <n v="3.3235310452476998"/>
    <n v="17.676846872872101"/>
  </r>
  <r>
    <n v="3"/>
    <n v="3"/>
    <x v="2"/>
    <n v="0"/>
    <x v="6"/>
    <n v="2"/>
    <s v="SE"/>
    <s v="Sydsverige"/>
    <s v="Sydsverige"/>
    <n v="0"/>
    <n v="0"/>
    <n v="0"/>
    <s v="SE22"/>
    <n v="7"/>
    <n v="2.0875865580447299"/>
    <n v="10.2922200782304"/>
  </r>
  <r>
    <n v="3"/>
    <n v="3"/>
    <x v="2"/>
    <n v="0"/>
    <x v="7"/>
    <n v="2"/>
    <s v="SE"/>
    <s v="Västsverige"/>
    <s v="Västsverige"/>
    <n v="0"/>
    <n v="0"/>
    <n v="0"/>
    <s v="SE23"/>
    <n v="10"/>
    <n v="0.52695151213566704"/>
    <n v="3.82833244347768"/>
  </r>
  <r>
    <n v="4"/>
    <n v="4"/>
    <x v="3"/>
    <n v="0"/>
    <x v="8"/>
    <n v="2"/>
    <s v="SE"/>
    <s v="Stockholm"/>
    <s v="Stockholm"/>
    <n v="0"/>
    <n v="0"/>
    <n v="0"/>
    <s v="SE11"/>
    <n v="3"/>
    <n v="1.1477743725017699"/>
    <n v="9.8435368073108709"/>
  </r>
  <r>
    <n v="4"/>
    <n v="4"/>
    <x v="3"/>
    <n v="0"/>
    <x v="9"/>
    <n v="2"/>
    <s v="SE"/>
    <s v="Östra Mellansverige"/>
    <s v="Östra Mellansverige"/>
    <n v="0"/>
    <n v="0"/>
    <n v="0"/>
    <s v="SE12"/>
    <n v="6"/>
    <n v="6.8470180838078196"/>
    <n v="16.574858847696099"/>
  </r>
  <r>
    <n v="4"/>
    <n v="4"/>
    <x v="3"/>
    <n v="0"/>
    <x v="5"/>
    <n v="2"/>
    <s v="SE"/>
    <s v="Småland med öarna"/>
    <s v="Småland med öarna"/>
    <n v="0"/>
    <n v="0"/>
    <n v="0"/>
    <s v="SE21"/>
    <n v="2"/>
    <n v="2.0525317308944202"/>
    <n v="9.3633573931607792"/>
  </r>
  <r>
    <n v="4"/>
    <n v="4"/>
    <x v="3"/>
    <n v="0"/>
    <x v="7"/>
    <n v="2"/>
    <s v="SE"/>
    <s v="Västsverige"/>
    <s v="Västsverige"/>
    <n v="0"/>
    <n v="0"/>
    <n v="0"/>
    <s v="SE23"/>
    <n v="10"/>
    <n v="4.7792637048011599"/>
    <n v="13.3309075790197"/>
  </r>
  <r>
    <n v="4"/>
    <n v="4"/>
    <x v="3"/>
    <n v="0"/>
    <x v="10"/>
    <n v="2"/>
    <s v="SE"/>
    <s v="Norra Mellansverige"/>
    <s v="Norra Mellansverige"/>
    <n v="0"/>
    <n v="0"/>
    <n v="0"/>
    <s v="SE31"/>
    <n v="20"/>
    <n v="8.4391449612186804"/>
    <n v="18.166579600490699"/>
  </r>
  <r>
    <n v="5"/>
    <n v="5"/>
    <x v="4"/>
    <n v="0"/>
    <x v="10"/>
    <n v="2"/>
    <s v="SE"/>
    <s v="Norra Mellansverige"/>
    <s v="Norra Mellansverige"/>
    <n v="0"/>
    <n v="0"/>
    <n v="0"/>
    <s v="SE31"/>
    <n v="20"/>
    <n v="3.4253805988847099"/>
    <n v="13.8919237386345"/>
  </r>
  <r>
    <n v="5"/>
    <n v="5"/>
    <x v="4"/>
    <n v="0"/>
    <x v="11"/>
    <n v="2"/>
    <s v="SE"/>
    <s v="Mellersta Norrland"/>
    <s v="Mellersta Norrland"/>
    <n v="0"/>
    <n v="0"/>
    <n v="0"/>
    <s v="SE32"/>
    <n v="5"/>
    <n v="13.7825719976918"/>
    <n v="21.4135868674576"/>
  </r>
  <r>
    <n v="5"/>
    <n v="5"/>
    <x v="4"/>
    <n v="0"/>
    <x v="12"/>
    <n v="2"/>
    <s v="SE"/>
    <s v="Övre Norrland"/>
    <s v="Övre Norrland"/>
    <n v="0"/>
    <n v="0"/>
    <n v="0"/>
    <s v="SE33"/>
    <n v="5"/>
    <n v="7.1018600821419096"/>
    <n v="16.415461143819499"/>
  </r>
  <r>
    <n v="6"/>
    <n v="6"/>
    <x v="5"/>
    <n v="0"/>
    <x v="12"/>
    <n v="2"/>
    <s v="SE"/>
    <s v="Övre Norrland"/>
    <s v="Övre Norrland"/>
    <n v="0"/>
    <n v="0"/>
    <n v="0"/>
    <s v="SE33"/>
    <n v="5"/>
    <n v="25.8649593425557"/>
    <n v="30.3325743933834"/>
  </r>
  <r>
    <n v="7"/>
    <n v="7"/>
    <x v="6"/>
    <n v="0"/>
    <x v="13"/>
    <n v="2"/>
    <s v="NO"/>
    <s v="Agder og Sør-Østlandet"/>
    <s v="Agder og Sør-Østlandet"/>
    <n v="0"/>
    <n v="0"/>
    <n v="0"/>
    <s v="NO09"/>
    <n v="20"/>
    <n v="5.3191901298614201"/>
    <n v="11.9679906992368"/>
  </r>
  <r>
    <n v="7"/>
    <n v="7"/>
    <x v="6"/>
    <n v="0"/>
    <x v="14"/>
    <n v="2"/>
    <s v="NO"/>
    <s v="Vestlandet"/>
    <s v="Vestlandet"/>
    <n v="0"/>
    <n v="0"/>
    <n v="0"/>
    <s v="NO0A"/>
    <n v="10"/>
    <n v="2.4785373559024602"/>
    <n v="13.067475734191"/>
  </r>
  <r>
    <n v="7"/>
    <n v="7"/>
    <x v="6"/>
    <n v="0"/>
    <x v="15"/>
    <n v="2"/>
    <s v="NO"/>
    <s v="Oslo og Viken"/>
    <s v="Oslo og Viken"/>
    <n v="0"/>
    <n v="0"/>
    <n v="0"/>
    <s v="NO08"/>
    <n v="7"/>
    <n v="0.34271681538800097"/>
    <n v="4.7752351160407001"/>
  </r>
  <r>
    <n v="8"/>
    <n v="8"/>
    <x v="7"/>
    <n v="0"/>
    <x v="13"/>
    <n v="2"/>
    <s v="NO"/>
    <s v="Agder og Sør-Østlandet"/>
    <s v="Agder og Sør-Østlandet"/>
    <n v="0"/>
    <n v="0"/>
    <n v="0"/>
    <s v="NO09"/>
    <n v="20"/>
    <n v="5.13182862113978E-2"/>
    <n v="2.1011896922095801"/>
  </r>
  <r>
    <n v="8"/>
    <n v="8"/>
    <x v="7"/>
    <n v="0"/>
    <x v="14"/>
    <n v="2"/>
    <s v="NO"/>
    <s v="Vestlandet"/>
    <s v="Vestlandet"/>
    <n v="0"/>
    <n v="0"/>
    <n v="0"/>
    <s v="NO0A"/>
    <n v="10"/>
    <n v="0.65882607170371399"/>
    <n v="4.2392860769434302"/>
  </r>
  <r>
    <n v="8"/>
    <n v="8"/>
    <x v="7"/>
    <n v="0"/>
    <x v="16"/>
    <n v="2"/>
    <s v="NO"/>
    <s v="Innlandet"/>
    <s v="Innlandet"/>
    <n v="0"/>
    <n v="0"/>
    <n v="0"/>
    <s v="NO02"/>
    <n v="7"/>
    <n v="6.6800146545497503"/>
    <n v="14.309842921993599"/>
  </r>
  <r>
    <n v="8"/>
    <n v="8"/>
    <x v="7"/>
    <n v="0"/>
    <x v="17"/>
    <n v="2"/>
    <s v="NO"/>
    <s v="Trøndelag"/>
    <s v="Trøndelag"/>
    <n v="0"/>
    <n v="0"/>
    <n v="0"/>
    <s v="NO06"/>
    <n v="32"/>
    <n v="0.105391413087829"/>
    <n v="1.73347721846498"/>
  </r>
  <r>
    <n v="8"/>
    <n v="8"/>
    <x v="7"/>
    <n v="0"/>
    <x v="15"/>
    <n v="2"/>
    <s v="NO"/>
    <s v="Oslo og Viken"/>
    <s v="Oslo og Viken"/>
    <n v="0"/>
    <n v="0"/>
    <n v="0"/>
    <s v="NO08"/>
    <n v="7"/>
    <n v="3.7038036301352899"/>
    <n v="14.6879271716347"/>
  </r>
  <r>
    <n v="9"/>
    <n v="9"/>
    <x v="8"/>
    <n v="0"/>
    <x v="14"/>
    <n v="2"/>
    <s v="NO"/>
    <s v="Vestlandet"/>
    <s v="Vestlandet"/>
    <n v="0"/>
    <n v="0"/>
    <n v="0"/>
    <s v="NO0A"/>
    <n v="10"/>
    <n v="3.95755741945836"/>
    <n v="22.829790917219299"/>
  </r>
  <r>
    <n v="9"/>
    <n v="9"/>
    <x v="8"/>
    <n v="0"/>
    <x v="16"/>
    <n v="2"/>
    <s v="NO"/>
    <s v="Innlandet"/>
    <s v="Innlandet"/>
    <n v="0"/>
    <n v="0"/>
    <n v="0"/>
    <s v="NO02"/>
    <n v="7"/>
    <n v="0.40141765079809399"/>
    <n v="3.9838264051735299"/>
  </r>
  <r>
    <n v="10"/>
    <n v="10"/>
    <x v="9"/>
    <n v="0"/>
    <x v="14"/>
    <n v="2"/>
    <s v="NO"/>
    <s v="Vestlandet"/>
    <s v="Vestlandet"/>
    <n v="0"/>
    <n v="0"/>
    <n v="0"/>
    <s v="NO0A"/>
    <n v="10"/>
    <n v="2.9695606480714698"/>
    <n v="22.055206334324801"/>
  </r>
  <r>
    <n v="10"/>
    <n v="10"/>
    <x v="9"/>
    <n v="0"/>
    <x v="16"/>
    <n v="2"/>
    <s v="NO"/>
    <s v="Innlandet"/>
    <s v="Innlandet"/>
    <n v="0"/>
    <n v="0"/>
    <n v="0"/>
    <s v="NO02"/>
    <n v="7"/>
    <n v="1.65671448927844"/>
    <n v="9.2128495325390691"/>
  </r>
  <r>
    <n v="10"/>
    <n v="10"/>
    <x v="9"/>
    <n v="0"/>
    <x v="17"/>
    <n v="2"/>
    <s v="NO"/>
    <s v="Trøndelag"/>
    <s v="Trøndelag"/>
    <n v="0"/>
    <n v="0"/>
    <n v="0"/>
    <s v="NO06"/>
    <n v="32"/>
    <n v="6.7843751590942203"/>
    <n v="28.008115606089898"/>
  </r>
  <r>
    <n v="11"/>
    <n v="11"/>
    <x v="10"/>
    <n v="0"/>
    <x v="17"/>
    <n v="2"/>
    <s v="NO"/>
    <s v="Trøndelag"/>
    <s v="Trøndelag"/>
    <n v="0"/>
    <n v="0"/>
    <n v="0"/>
    <s v="NO06"/>
    <n v="32"/>
    <n v="0.71543156901662996"/>
    <n v="6.2474311081894198"/>
  </r>
  <r>
    <n v="11"/>
    <n v="11"/>
    <x v="10"/>
    <n v="0"/>
    <x v="18"/>
    <n v="2"/>
    <s v="NO"/>
    <s v="Nord-Norge"/>
    <s v="Nord-Norge"/>
    <n v="0"/>
    <n v="0"/>
    <n v="0"/>
    <s v="NO07"/>
    <n v="5"/>
    <n v="25.2123215697831"/>
    <n v="124.83504861998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600-000000000000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A46:M67" firstHeaderRow="1" firstDataRow="2" firstDataCol="1"/>
  <pivotFields count="16">
    <pivotField showAll="0"/>
    <pivotField showAll="0"/>
    <pivotField axis="axisCol" showAll="0">
      <items count="12">
        <item x="1"/>
        <item x="0"/>
        <item x="7"/>
        <item x="6"/>
        <item x="9"/>
        <item x="10"/>
        <item x="8"/>
        <item x="5"/>
        <item x="4"/>
        <item x="3"/>
        <item x="2"/>
        <item t="default"/>
      </items>
    </pivotField>
    <pivotField showAll="0"/>
    <pivotField axis="axisRow" showAll="0">
      <items count="20">
        <item x="0"/>
        <item x="1"/>
        <item x="3"/>
        <item x="4"/>
        <item x="2"/>
        <item x="16"/>
        <item x="17"/>
        <item x="18"/>
        <item x="15"/>
        <item x="13"/>
        <item x="14"/>
        <item x="8"/>
        <item x="9"/>
        <item x="5"/>
        <item x="6"/>
        <item x="7"/>
        <item x="10"/>
        <item x="11"/>
        <item x="1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</pivotFields>
  <rowFields count="1">
    <field x="4"/>
  </rowFields>
  <row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rowItems>
  <colFields count="1">
    <field x="2"/>
  </colFields>
  <col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colItems>
  <dataFields count="1">
    <dataField name="Sum of area_2" fld="14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https://doi.org/10.2790/39014" TargetMode="External"/><Relationship Id="rId1" Type="http://schemas.openxmlformats.org/officeDocument/2006/relationships/pivotTable" Target="../pivotTables/pivotTable1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www.claverton-energy.com/wordpress/wp-content/uploads/2012/08/the_energy_and_fuel_data_sheet1.pdf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68"/>
  <sheetViews>
    <sheetView topLeftCell="A40" workbookViewId="0">
      <selection activeCell="B51" sqref="B51"/>
    </sheetView>
  </sheetViews>
  <sheetFormatPr defaultRowHeight="14.25" x14ac:dyDescent="0.45"/>
  <cols>
    <col min="1" max="1" width="11.59765625" bestFit="1" customWidth="1"/>
    <col min="3" max="3" width="9.86328125" customWidth="1"/>
  </cols>
  <sheetData>
    <row r="1" spans="1:15" x14ac:dyDescent="0.45">
      <c r="A1" t="s">
        <v>1</v>
      </c>
      <c r="B1" t="s">
        <v>6</v>
      </c>
      <c r="C1" t="s">
        <v>195</v>
      </c>
    </row>
    <row r="2" spans="1:15" x14ac:dyDescent="0.45">
      <c r="B2" t="s">
        <v>9</v>
      </c>
      <c r="C2" t="s">
        <v>219</v>
      </c>
    </row>
    <row r="4" spans="1:15" x14ac:dyDescent="0.45">
      <c r="A4" t="s">
        <v>10</v>
      </c>
      <c r="B4" t="s">
        <v>12</v>
      </c>
      <c r="C4" t="s">
        <v>13</v>
      </c>
      <c r="D4" t="s">
        <v>14</v>
      </c>
    </row>
    <row r="5" spans="1:15" x14ac:dyDescent="0.45">
      <c r="A5" t="s">
        <v>11</v>
      </c>
      <c r="B5" s="1">
        <v>0.04</v>
      </c>
      <c r="C5" t="s">
        <v>15</v>
      </c>
      <c r="D5" t="s">
        <v>16</v>
      </c>
    </row>
    <row r="7" spans="1:15" x14ac:dyDescent="0.45">
      <c r="A7" s="12" t="s">
        <v>72</v>
      </c>
    </row>
    <row r="8" spans="1:15" x14ac:dyDescent="0.45">
      <c r="C8" t="s">
        <v>68</v>
      </c>
      <c r="D8" t="s">
        <v>69</v>
      </c>
      <c r="E8" t="s">
        <v>70</v>
      </c>
      <c r="F8" t="s">
        <v>71</v>
      </c>
    </row>
    <row r="9" spans="1:15" x14ac:dyDescent="0.45">
      <c r="B9" t="s">
        <v>67</v>
      </c>
      <c r="C9" s="2">
        <v>5806014</v>
      </c>
      <c r="D9" s="2">
        <v>5323933</v>
      </c>
      <c r="E9" s="2">
        <v>10313447</v>
      </c>
      <c r="F9" s="2">
        <f>SUM(C9:E9)</f>
        <v>21443394</v>
      </c>
      <c r="G9" t="s">
        <v>75</v>
      </c>
    </row>
    <row r="10" spans="1:15" x14ac:dyDescent="0.45">
      <c r="B10" t="s">
        <v>74</v>
      </c>
      <c r="C10" s="1">
        <v>42933</v>
      </c>
      <c r="D10" s="1">
        <v>385207</v>
      </c>
      <c r="E10" s="1">
        <v>450295</v>
      </c>
      <c r="F10">
        <f>SUM(C10:E10)</f>
        <v>878435</v>
      </c>
      <c r="G10" t="s">
        <v>76</v>
      </c>
    </row>
    <row r="15" spans="1:15" x14ac:dyDescent="0.45">
      <c r="A15" s="12" t="s">
        <v>194</v>
      </c>
      <c r="G15" t="s">
        <v>253</v>
      </c>
      <c r="H15" t="s">
        <v>254</v>
      </c>
      <c r="I15" t="s">
        <v>941</v>
      </c>
      <c r="L15" t="s">
        <v>533</v>
      </c>
      <c r="M15" t="s">
        <v>535</v>
      </c>
      <c r="N15" t="s">
        <v>940</v>
      </c>
      <c r="O15" t="s">
        <v>565</v>
      </c>
    </row>
    <row r="16" spans="1:15" x14ac:dyDescent="0.45">
      <c r="C16" t="s">
        <v>214</v>
      </c>
      <c r="D16" t="s">
        <v>215</v>
      </c>
      <c r="F16" s="147" t="s">
        <v>245</v>
      </c>
      <c r="G16" s="22">
        <v>71.599999999999994</v>
      </c>
      <c r="H16">
        <f>IF(ISNUMBER(G16), G16/$G$64, "")</f>
        <v>0.69582118561710393</v>
      </c>
      <c r="I16">
        <f>IF(ISNUMBER(G16), G16/$G$66, "")</f>
        <v>0.6825548141086748</v>
      </c>
      <c r="K16" s="65" t="s">
        <v>531</v>
      </c>
      <c r="L16" s="66" t="s">
        <v>534</v>
      </c>
    </row>
    <row r="17" spans="2:15" x14ac:dyDescent="0.45">
      <c r="B17" s="25" t="s">
        <v>196</v>
      </c>
      <c r="C17" s="22">
        <v>79.19</v>
      </c>
      <c r="D17">
        <f>C17/$C$17</f>
        <v>1</v>
      </c>
      <c r="F17" s="147" t="s">
        <v>244</v>
      </c>
      <c r="G17" s="28" t="s">
        <v>244</v>
      </c>
      <c r="H17" t="str">
        <f t="shared" ref="H17:H67" si="0">IF(ISNUMBER(G17), G17/$G$64, "")</f>
        <v/>
      </c>
      <c r="I17" t="str">
        <f t="shared" ref="I17:I67" si="1">IF(ISNUMBER(G17), G17/$G$66, "")</f>
        <v/>
      </c>
      <c r="K17" s="148" t="s">
        <v>245</v>
      </c>
      <c r="L17" s="67" t="s">
        <v>532</v>
      </c>
      <c r="M17" t="str">
        <f>IF(ISNUMBER(L17), L17/$L$65, "")</f>
        <v/>
      </c>
      <c r="N17" t="str">
        <f t="shared" ref="N17:N24" si="2">IF(ISNUMBER(L17), L17/$L$67, "")</f>
        <v/>
      </c>
      <c r="O17" t="str">
        <f t="shared" ref="O17:O48" si="3">IF(ISNUMBER(L17), L17/$L$63, "")</f>
        <v/>
      </c>
    </row>
    <row r="18" spans="2:15" x14ac:dyDescent="0.45">
      <c r="B18" s="25" t="s">
        <v>197</v>
      </c>
      <c r="C18" s="22">
        <v>82.25</v>
      </c>
      <c r="D18">
        <f t="shared" ref="D18:D23" si="4">IF(ISNUMBER(C18), C18/$C$17, "")</f>
        <v>1.038641242581134</v>
      </c>
      <c r="E18" s="24"/>
      <c r="F18" s="147" t="s">
        <v>246</v>
      </c>
      <c r="G18" s="29">
        <v>73</v>
      </c>
      <c r="H18">
        <f t="shared" si="0"/>
        <v>0.7094266277939747</v>
      </c>
      <c r="I18">
        <f t="shared" si="1"/>
        <v>0.69590085795996182</v>
      </c>
      <c r="J18" s="24"/>
      <c r="K18" s="148" t="s">
        <v>244</v>
      </c>
      <c r="L18" s="67" t="s">
        <v>244</v>
      </c>
      <c r="M18" t="str">
        <f t="shared" ref="M18:M68" si="5">IF(ISNUMBER(L18), L18/$L$65, "")</f>
        <v/>
      </c>
      <c r="N18" t="str">
        <f t="shared" si="2"/>
        <v/>
      </c>
      <c r="O18" t="str">
        <f t="shared" si="3"/>
        <v/>
      </c>
    </row>
    <row r="19" spans="2:15" x14ac:dyDescent="0.45">
      <c r="B19" s="25" t="s">
        <v>198</v>
      </c>
      <c r="C19" s="22">
        <v>84.88</v>
      </c>
      <c r="D19">
        <f t="shared" si="4"/>
        <v>1.0718525066296249</v>
      </c>
      <c r="F19" s="147" t="s">
        <v>244</v>
      </c>
      <c r="G19" s="28" t="s">
        <v>244</v>
      </c>
      <c r="H19" t="str">
        <f t="shared" si="0"/>
        <v/>
      </c>
      <c r="I19" t="str">
        <f t="shared" si="1"/>
        <v/>
      </c>
      <c r="K19" s="148" t="s">
        <v>246</v>
      </c>
      <c r="L19" s="67" t="s">
        <v>532</v>
      </c>
      <c r="M19" t="str">
        <f t="shared" si="5"/>
        <v/>
      </c>
      <c r="N19" t="str">
        <f t="shared" si="2"/>
        <v/>
      </c>
      <c r="O19" t="str">
        <f t="shared" si="3"/>
        <v/>
      </c>
    </row>
    <row r="20" spans="2:15" x14ac:dyDescent="0.45">
      <c r="B20" s="25" t="s">
        <v>199</v>
      </c>
      <c r="C20" s="22">
        <v>87.11</v>
      </c>
      <c r="D20">
        <f t="shared" si="4"/>
        <v>1.1000126278570528</v>
      </c>
      <c r="F20" s="147" t="s">
        <v>247</v>
      </c>
      <c r="G20" s="22">
        <v>73.900000000000006</v>
      </c>
      <c r="H20">
        <f t="shared" si="0"/>
        <v>0.71817298347910596</v>
      </c>
      <c r="I20">
        <f t="shared" si="1"/>
        <v>0.7044804575786463</v>
      </c>
      <c r="K20" s="148" t="s">
        <v>244</v>
      </c>
      <c r="L20" s="67" t="s">
        <v>244</v>
      </c>
      <c r="M20" t="str">
        <f t="shared" si="5"/>
        <v/>
      </c>
      <c r="N20" t="str">
        <f t="shared" si="2"/>
        <v/>
      </c>
      <c r="O20" t="str">
        <f t="shared" si="3"/>
        <v/>
      </c>
    </row>
    <row r="21" spans="2:15" x14ac:dyDescent="0.45">
      <c r="B21" s="25" t="s">
        <v>200</v>
      </c>
      <c r="C21" s="22">
        <v>90.97</v>
      </c>
      <c r="D21">
        <f t="shared" si="4"/>
        <v>1.1487561560803132</v>
      </c>
      <c r="F21" s="147" t="s">
        <v>244</v>
      </c>
      <c r="G21" s="28" t="s">
        <v>244</v>
      </c>
      <c r="H21" t="str">
        <f t="shared" si="0"/>
        <v/>
      </c>
      <c r="I21" t="str">
        <f t="shared" si="1"/>
        <v/>
      </c>
      <c r="K21" s="148" t="s">
        <v>247</v>
      </c>
      <c r="L21" s="67" t="s">
        <v>532</v>
      </c>
      <c r="M21" t="str">
        <f t="shared" si="5"/>
        <v/>
      </c>
      <c r="N21" t="str">
        <f t="shared" si="2"/>
        <v/>
      </c>
      <c r="O21" t="str">
        <f t="shared" si="3"/>
        <v/>
      </c>
    </row>
    <row r="22" spans="2:15" x14ac:dyDescent="0.45">
      <c r="B22" s="25" t="s">
        <v>201</v>
      </c>
      <c r="C22" s="22">
        <v>90.25</v>
      </c>
      <c r="D22">
        <f t="shared" si="4"/>
        <v>1.1396640990023994</v>
      </c>
      <c r="F22" s="147" t="s">
        <v>248</v>
      </c>
      <c r="G22" s="22">
        <v>75.400000000000006</v>
      </c>
      <c r="H22">
        <f t="shared" si="0"/>
        <v>0.73275024295432456</v>
      </c>
      <c r="I22">
        <f t="shared" si="1"/>
        <v>0.71877979027645378</v>
      </c>
      <c r="K22" s="148" t="s">
        <v>244</v>
      </c>
      <c r="L22" s="67" t="s">
        <v>244</v>
      </c>
      <c r="M22" t="str">
        <f t="shared" si="5"/>
        <v/>
      </c>
      <c r="N22" t="str">
        <f t="shared" si="2"/>
        <v/>
      </c>
      <c r="O22" t="str">
        <f t="shared" si="3"/>
        <v/>
      </c>
    </row>
    <row r="23" spans="2:15" x14ac:dyDescent="0.45">
      <c r="B23" s="25" t="s">
        <v>202</v>
      </c>
      <c r="C23" s="22">
        <v>92.56</v>
      </c>
      <c r="D23">
        <f t="shared" si="4"/>
        <v>1.1688344487940396</v>
      </c>
      <c r="F23" s="147" t="s">
        <v>244</v>
      </c>
      <c r="G23" s="28" t="s">
        <v>244</v>
      </c>
      <c r="H23" t="str">
        <f t="shared" si="0"/>
        <v/>
      </c>
      <c r="I23" t="str">
        <f t="shared" si="1"/>
        <v/>
      </c>
      <c r="K23" s="148" t="s">
        <v>248</v>
      </c>
      <c r="L23" s="67" t="s">
        <v>532</v>
      </c>
      <c r="M23" t="str">
        <f t="shared" si="5"/>
        <v/>
      </c>
      <c r="N23" t="str">
        <f t="shared" si="2"/>
        <v/>
      </c>
      <c r="O23" t="str">
        <f t="shared" si="3"/>
        <v/>
      </c>
    </row>
    <row r="24" spans="2:15" x14ac:dyDescent="0.45">
      <c r="B24" s="25" t="s">
        <v>203</v>
      </c>
      <c r="C24" s="22">
        <v>96.16</v>
      </c>
      <c r="D24">
        <f t="shared" ref="D24:D34" si="6">IF(ISNUMBER(C24), C24/$C$17, "")</f>
        <v>1.214294734183609</v>
      </c>
      <c r="F24" s="147" t="s">
        <v>249</v>
      </c>
      <c r="G24" s="22">
        <v>77.5</v>
      </c>
      <c r="H24">
        <f t="shared" si="0"/>
        <v>0.75315840621963071</v>
      </c>
      <c r="I24">
        <f t="shared" si="1"/>
        <v>0.73879885605338413</v>
      </c>
      <c r="K24" s="148" t="s">
        <v>244</v>
      </c>
      <c r="L24" s="67" t="s">
        <v>244</v>
      </c>
      <c r="M24" t="str">
        <f t="shared" si="5"/>
        <v/>
      </c>
      <c r="N24" t="str">
        <f t="shared" si="2"/>
        <v/>
      </c>
      <c r="O24" t="str">
        <f t="shared" si="3"/>
        <v/>
      </c>
    </row>
    <row r="25" spans="2:15" x14ac:dyDescent="0.45">
      <c r="B25" s="25" t="s">
        <v>204</v>
      </c>
      <c r="C25" s="22">
        <v>98.23</v>
      </c>
      <c r="D25">
        <f t="shared" si="6"/>
        <v>1.2404343982826116</v>
      </c>
      <c r="F25" s="147" t="s">
        <v>244</v>
      </c>
      <c r="G25" s="28" t="s">
        <v>244</v>
      </c>
      <c r="H25" t="str">
        <f t="shared" si="0"/>
        <v/>
      </c>
      <c r="I25" t="str">
        <f t="shared" si="1"/>
        <v/>
      </c>
      <c r="K25" s="148" t="s">
        <v>249</v>
      </c>
      <c r="L25" s="68">
        <v>73.13</v>
      </c>
      <c r="M25">
        <f t="shared" si="5"/>
        <v>0.69147125567322232</v>
      </c>
      <c r="N25">
        <f>IF(ISNUMBER(L25), L25/$L$67, "")</f>
        <v>0.67202720088219081</v>
      </c>
      <c r="O25">
        <f t="shared" si="3"/>
        <v>0.69621096725057108</v>
      </c>
    </row>
    <row r="26" spans="2:15" x14ac:dyDescent="0.45">
      <c r="B26" s="25" t="s">
        <v>205</v>
      </c>
      <c r="C26" s="22">
        <v>99.48</v>
      </c>
      <c r="D26">
        <f t="shared" si="6"/>
        <v>1.2562192195984343</v>
      </c>
      <c r="F26" s="147" t="s">
        <v>250</v>
      </c>
      <c r="G26" s="22">
        <v>79.3</v>
      </c>
      <c r="H26">
        <f t="shared" si="0"/>
        <v>0.77065111758989302</v>
      </c>
      <c r="I26">
        <f t="shared" si="1"/>
        <v>0.75595805529075299</v>
      </c>
      <c r="K26" s="148" t="s">
        <v>244</v>
      </c>
      <c r="L26" s="67" t="s">
        <v>244</v>
      </c>
      <c r="M26" t="str">
        <f t="shared" si="5"/>
        <v/>
      </c>
      <c r="N26" t="str">
        <f t="shared" ref="N26:N68" si="7">IF(ISNUMBER(L26), L26/$L$67, "")</f>
        <v/>
      </c>
      <c r="O26" t="str">
        <f t="shared" si="3"/>
        <v/>
      </c>
    </row>
    <row r="27" spans="2:15" x14ac:dyDescent="0.45">
      <c r="B27" s="25" t="s">
        <v>206</v>
      </c>
      <c r="C27" s="22">
        <v>100.81</v>
      </c>
      <c r="D27">
        <f t="shared" si="6"/>
        <v>1.2730142694784696</v>
      </c>
      <c r="F27" s="147" t="s">
        <v>244</v>
      </c>
      <c r="G27" s="28" t="s">
        <v>244</v>
      </c>
      <c r="H27" t="str">
        <f t="shared" si="0"/>
        <v/>
      </c>
      <c r="I27" t="str">
        <f t="shared" si="1"/>
        <v/>
      </c>
      <c r="K27" s="148" t="s">
        <v>250</v>
      </c>
      <c r="L27" s="68">
        <v>75.73</v>
      </c>
      <c r="M27">
        <f t="shared" si="5"/>
        <v>0.71605521936459915</v>
      </c>
      <c r="N27">
        <f t="shared" si="7"/>
        <v>0.69591986767138403</v>
      </c>
      <c r="O27">
        <f t="shared" si="3"/>
        <v>0.72096344249809596</v>
      </c>
    </row>
    <row r="28" spans="2:15" x14ac:dyDescent="0.45">
      <c r="B28" s="25" t="s">
        <v>207</v>
      </c>
      <c r="C28" s="23">
        <v>100</v>
      </c>
      <c r="D28">
        <f t="shared" si="6"/>
        <v>1.2627857052658165</v>
      </c>
      <c r="F28" s="147" t="s">
        <v>251</v>
      </c>
      <c r="G28" s="22">
        <v>81.2</v>
      </c>
      <c r="H28">
        <f t="shared" si="0"/>
        <v>0.78911564625850339</v>
      </c>
      <c r="I28">
        <f t="shared" si="1"/>
        <v>0.77407054337464254</v>
      </c>
      <c r="K28" s="148" t="s">
        <v>244</v>
      </c>
      <c r="L28" s="67" t="s">
        <v>244</v>
      </c>
      <c r="M28" t="str">
        <f t="shared" si="5"/>
        <v/>
      </c>
      <c r="N28" t="str">
        <f t="shared" si="7"/>
        <v/>
      </c>
      <c r="O28" t="str">
        <f t="shared" si="3"/>
        <v/>
      </c>
    </row>
    <row r="29" spans="2:15" x14ac:dyDescent="0.45">
      <c r="B29" s="25" t="s">
        <v>208</v>
      </c>
      <c r="C29" s="22">
        <v>100.55</v>
      </c>
      <c r="D29">
        <f t="shared" si="6"/>
        <v>1.2697310266447783</v>
      </c>
      <c r="F29" s="147" t="s">
        <v>244</v>
      </c>
      <c r="G29" s="28" t="s">
        <v>244</v>
      </c>
      <c r="H29" t="str">
        <f t="shared" si="0"/>
        <v/>
      </c>
      <c r="I29" t="str">
        <f t="shared" si="1"/>
        <v/>
      </c>
      <c r="K29" s="148" t="s">
        <v>251</v>
      </c>
      <c r="L29" s="68">
        <v>77.81</v>
      </c>
      <c r="M29">
        <f t="shared" si="5"/>
        <v>0.73572239031770048</v>
      </c>
      <c r="N29">
        <f t="shared" si="7"/>
        <v>0.71503400110273851</v>
      </c>
      <c r="O29">
        <f t="shared" si="3"/>
        <v>0.74076542269611578</v>
      </c>
    </row>
    <row r="30" spans="2:15" x14ac:dyDescent="0.45">
      <c r="B30" s="25" t="s">
        <v>209</v>
      </c>
      <c r="C30" s="22">
        <v>102.29</v>
      </c>
      <c r="D30">
        <f t="shared" si="6"/>
        <v>1.2917034979164037</v>
      </c>
      <c r="F30" s="147" t="s">
        <v>252</v>
      </c>
      <c r="G30" s="22">
        <v>82.7</v>
      </c>
      <c r="H30">
        <f t="shared" si="0"/>
        <v>0.8036929057337221</v>
      </c>
      <c r="I30">
        <f t="shared" si="1"/>
        <v>0.7883698760724499</v>
      </c>
      <c r="K30" s="148" t="s">
        <v>244</v>
      </c>
      <c r="L30" s="67" t="s">
        <v>244</v>
      </c>
      <c r="M30" t="str">
        <f t="shared" si="5"/>
        <v/>
      </c>
      <c r="N30" t="str">
        <f t="shared" si="7"/>
        <v/>
      </c>
      <c r="O30" t="str">
        <f t="shared" si="3"/>
        <v/>
      </c>
    </row>
    <row r="31" spans="2:15" x14ac:dyDescent="0.45">
      <c r="B31" s="25" t="s">
        <v>210</v>
      </c>
      <c r="C31" s="22">
        <v>104.52</v>
      </c>
      <c r="D31">
        <f t="shared" si="6"/>
        <v>1.3198636191438313</v>
      </c>
      <c r="F31" s="147" t="s">
        <v>244</v>
      </c>
      <c r="G31" s="28" t="s">
        <v>244</v>
      </c>
      <c r="H31" t="str">
        <f t="shared" si="0"/>
        <v/>
      </c>
      <c r="I31" t="str">
        <f t="shared" si="1"/>
        <v/>
      </c>
      <c r="K31" s="148" t="s">
        <v>252</v>
      </c>
      <c r="L31" s="68">
        <v>79.59</v>
      </c>
      <c r="M31">
        <f t="shared" si="5"/>
        <v>0.75255295007564293</v>
      </c>
      <c r="N31">
        <f t="shared" si="7"/>
        <v>0.73139128836610923</v>
      </c>
      <c r="O31">
        <f t="shared" si="3"/>
        <v>0.75771134805788265</v>
      </c>
    </row>
    <row r="32" spans="2:15" x14ac:dyDescent="0.45">
      <c r="B32" s="25" t="s">
        <v>211</v>
      </c>
      <c r="C32" s="22">
        <v>105.92</v>
      </c>
      <c r="D32">
        <f t="shared" si="6"/>
        <v>1.3375426190175528</v>
      </c>
      <c r="F32" s="147" t="s">
        <v>196</v>
      </c>
      <c r="G32" s="22">
        <v>83.5</v>
      </c>
      <c r="H32">
        <f t="shared" si="0"/>
        <v>0.81146744412050531</v>
      </c>
      <c r="I32">
        <f t="shared" si="1"/>
        <v>0.79599618684461393</v>
      </c>
      <c r="K32" s="148" t="s">
        <v>244</v>
      </c>
      <c r="L32" s="67" t="s">
        <v>244</v>
      </c>
      <c r="M32" t="str">
        <f t="shared" si="5"/>
        <v/>
      </c>
      <c r="N32" t="str">
        <f t="shared" si="7"/>
        <v/>
      </c>
      <c r="O32" t="str">
        <f t="shared" si="3"/>
        <v/>
      </c>
    </row>
    <row r="33" spans="1:15" x14ac:dyDescent="0.45">
      <c r="B33" s="25" t="s">
        <v>212</v>
      </c>
      <c r="C33" s="22">
        <v>106.72</v>
      </c>
      <c r="D33">
        <f t="shared" si="6"/>
        <v>1.3476449046596792</v>
      </c>
      <c r="F33" s="147" t="s">
        <v>244</v>
      </c>
      <c r="G33" s="28" t="s">
        <v>244</v>
      </c>
      <c r="H33" t="str">
        <f t="shared" si="0"/>
        <v/>
      </c>
      <c r="I33" t="str">
        <f t="shared" si="1"/>
        <v/>
      </c>
      <c r="K33" s="148" t="s">
        <v>196</v>
      </c>
      <c r="L33" s="68">
        <v>81.55</v>
      </c>
      <c r="M33">
        <f t="shared" si="5"/>
        <v>0.77108547655068072</v>
      </c>
      <c r="N33">
        <f t="shared" si="7"/>
        <v>0.74940268333027016</v>
      </c>
      <c r="O33">
        <f t="shared" si="3"/>
        <v>0.77637090632140127</v>
      </c>
    </row>
    <row r="34" spans="1:15" x14ac:dyDescent="0.45">
      <c r="B34" s="25" t="s">
        <v>213</v>
      </c>
      <c r="C34" s="22">
        <v>112.49</v>
      </c>
      <c r="D34">
        <f t="shared" si="6"/>
        <v>1.4205076398535168</v>
      </c>
      <c r="F34" s="147" t="s">
        <v>197</v>
      </c>
      <c r="G34" s="29">
        <v>85</v>
      </c>
      <c r="H34">
        <f t="shared" si="0"/>
        <v>0.82604470359572391</v>
      </c>
      <c r="I34">
        <f t="shared" si="1"/>
        <v>0.81029551954242129</v>
      </c>
      <c r="K34" s="148" t="s">
        <v>244</v>
      </c>
      <c r="L34" s="67" t="s">
        <v>244</v>
      </c>
      <c r="M34" t="str">
        <f t="shared" si="5"/>
        <v/>
      </c>
      <c r="N34" t="str">
        <f t="shared" si="7"/>
        <v/>
      </c>
      <c r="O34" t="str">
        <f t="shared" si="3"/>
        <v/>
      </c>
    </row>
    <row r="35" spans="1:15" x14ac:dyDescent="0.45">
      <c r="F35" s="147" t="s">
        <v>244</v>
      </c>
      <c r="G35" s="28" t="s">
        <v>244</v>
      </c>
      <c r="H35" t="str">
        <f t="shared" si="0"/>
        <v/>
      </c>
      <c r="I35" t="str">
        <f t="shared" si="1"/>
        <v/>
      </c>
      <c r="K35" s="148" t="s">
        <v>197</v>
      </c>
      <c r="L35" s="68">
        <v>83.45</v>
      </c>
      <c r="M35">
        <f t="shared" si="5"/>
        <v>0.78905068078668683</v>
      </c>
      <c r="N35">
        <f t="shared" si="7"/>
        <v>0.76686270906083442</v>
      </c>
      <c r="O35">
        <f t="shared" si="3"/>
        <v>0.79445925361766945</v>
      </c>
    </row>
    <row r="36" spans="1:15" x14ac:dyDescent="0.45">
      <c r="F36" s="147" t="s">
        <v>198</v>
      </c>
      <c r="G36" s="22">
        <v>86.5</v>
      </c>
      <c r="H36">
        <f t="shared" si="0"/>
        <v>0.84062196307094261</v>
      </c>
      <c r="I36">
        <f t="shared" si="1"/>
        <v>0.82459485224022877</v>
      </c>
      <c r="K36" s="148" t="s">
        <v>244</v>
      </c>
      <c r="L36" s="67" t="s">
        <v>244</v>
      </c>
      <c r="M36" t="str">
        <f t="shared" si="5"/>
        <v/>
      </c>
      <c r="N36" t="str">
        <f t="shared" si="7"/>
        <v/>
      </c>
      <c r="O36" t="str">
        <f t="shared" si="3"/>
        <v/>
      </c>
    </row>
    <row r="37" spans="1:15" x14ac:dyDescent="0.45">
      <c r="A37" t="s">
        <v>218</v>
      </c>
      <c r="F37" s="147" t="s">
        <v>244</v>
      </c>
      <c r="G37" s="28" t="s">
        <v>244</v>
      </c>
      <c r="H37" t="str">
        <f t="shared" si="0"/>
        <v/>
      </c>
      <c r="I37" t="str">
        <f t="shared" si="1"/>
        <v/>
      </c>
      <c r="K37" s="148" t="s">
        <v>198</v>
      </c>
      <c r="L37" s="68">
        <v>85.38</v>
      </c>
      <c r="M37">
        <f t="shared" si="5"/>
        <v>0.80729954614220867</v>
      </c>
      <c r="N37">
        <f t="shared" si="7"/>
        <v>0.78459841940819708</v>
      </c>
      <c r="O37">
        <f t="shared" si="3"/>
        <v>0.81283320639756274</v>
      </c>
    </row>
    <row r="38" spans="1:15" x14ac:dyDescent="0.45">
      <c r="F38" s="147" t="s">
        <v>199</v>
      </c>
      <c r="G38" s="29">
        <v>88</v>
      </c>
      <c r="H38">
        <f t="shared" si="0"/>
        <v>0.85519922254616132</v>
      </c>
      <c r="I38">
        <f t="shared" si="1"/>
        <v>0.83889418493803614</v>
      </c>
      <c r="K38" s="148" t="s">
        <v>244</v>
      </c>
      <c r="L38" s="67" t="s">
        <v>244</v>
      </c>
      <c r="M38" t="str">
        <f t="shared" si="5"/>
        <v/>
      </c>
      <c r="N38" t="str">
        <f t="shared" si="7"/>
        <v/>
      </c>
      <c r="O38" t="str">
        <f t="shared" si="3"/>
        <v/>
      </c>
    </row>
    <row r="39" spans="1:15" x14ac:dyDescent="0.45">
      <c r="A39">
        <v>1</v>
      </c>
      <c r="B39" t="s">
        <v>220</v>
      </c>
      <c r="C39">
        <v>0.92025699999999999</v>
      </c>
      <c r="D39" s="26">
        <v>15</v>
      </c>
      <c r="F39" s="147" t="s">
        <v>244</v>
      </c>
      <c r="G39" s="28" t="s">
        <v>244</v>
      </c>
      <c r="H39" t="str">
        <f t="shared" si="0"/>
        <v/>
      </c>
      <c r="I39" t="str">
        <f t="shared" si="1"/>
        <v/>
      </c>
      <c r="K39" s="148" t="s">
        <v>199</v>
      </c>
      <c r="L39" s="68">
        <v>87.41</v>
      </c>
      <c r="M39">
        <f t="shared" si="5"/>
        <v>0.82649394856278358</v>
      </c>
      <c r="N39">
        <f t="shared" si="7"/>
        <v>0.80325307847822092</v>
      </c>
      <c r="O39">
        <f t="shared" si="3"/>
        <v>0.83215917745620704</v>
      </c>
    </row>
    <row r="40" spans="1:15" x14ac:dyDescent="0.45">
      <c r="A40" s="26"/>
      <c r="F40" s="147" t="s">
        <v>200</v>
      </c>
      <c r="G40" s="22">
        <v>91.2</v>
      </c>
      <c r="H40">
        <f t="shared" si="0"/>
        <v>0.8862973760932944</v>
      </c>
      <c r="I40">
        <f t="shared" si="1"/>
        <v>0.86939942802669212</v>
      </c>
      <c r="K40" s="148" t="s">
        <v>244</v>
      </c>
      <c r="L40" s="67" t="s">
        <v>244</v>
      </c>
      <c r="M40" t="str">
        <f t="shared" si="5"/>
        <v/>
      </c>
      <c r="N40" t="str">
        <f t="shared" si="7"/>
        <v/>
      </c>
      <c r="O40" t="str">
        <f t="shared" si="3"/>
        <v/>
      </c>
    </row>
    <row r="41" spans="1:15" x14ac:dyDescent="0.45">
      <c r="F41" s="147" t="s">
        <v>244</v>
      </c>
      <c r="G41" s="28" t="s">
        <v>244</v>
      </c>
      <c r="H41" t="str">
        <f t="shared" si="0"/>
        <v/>
      </c>
      <c r="I41" t="str">
        <f t="shared" si="1"/>
        <v/>
      </c>
      <c r="K41" s="148" t="s">
        <v>200</v>
      </c>
      <c r="L41" s="68">
        <v>90.64</v>
      </c>
      <c r="M41">
        <f t="shared" si="5"/>
        <v>0.85703479576399388</v>
      </c>
      <c r="N41">
        <f t="shared" si="7"/>
        <v>0.83293512222018018</v>
      </c>
      <c r="O41">
        <f t="shared" si="3"/>
        <v>0.86290936785986283</v>
      </c>
    </row>
    <row r="42" spans="1:15" x14ac:dyDescent="0.45">
      <c r="F42" s="147" t="s">
        <v>201</v>
      </c>
      <c r="G42" s="22">
        <v>92.1</v>
      </c>
      <c r="H42">
        <f t="shared" si="0"/>
        <v>0.89504373177842556</v>
      </c>
      <c r="I42">
        <f t="shared" si="1"/>
        <v>0.8779790276453765</v>
      </c>
      <c r="K42" s="148" t="s">
        <v>244</v>
      </c>
      <c r="L42" s="67" t="s">
        <v>244</v>
      </c>
      <c r="M42" t="str">
        <f t="shared" si="5"/>
        <v/>
      </c>
      <c r="N42" t="str">
        <f t="shared" si="7"/>
        <v/>
      </c>
      <c r="O42" t="str">
        <f t="shared" si="3"/>
        <v/>
      </c>
    </row>
    <row r="43" spans="1:15" x14ac:dyDescent="0.45">
      <c r="F43" s="147" t="s">
        <v>244</v>
      </c>
      <c r="G43" s="28" t="s">
        <v>244</v>
      </c>
      <c r="H43" t="str">
        <f t="shared" si="0"/>
        <v/>
      </c>
      <c r="I43" t="str">
        <f t="shared" si="1"/>
        <v/>
      </c>
      <c r="K43" s="148" t="s">
        <v>201</v>
      </c>
      <c r="L43" s="68">
        <v>91.35</v>
      </c>
      <c r="M43">
        <f t="shared" si="5"/>
        <v>0.86374810892586984</v>
      </c>
      <c r="N43">
        <f t="shared" si="7"/>
        <v>0.83945965815107515</v>
      </c>
      <c r="O43">
        <f t="shared" si="3"/>
        <v>0.86966869763899457</v>
      </c>
    </row>
    <row r="44" spans="1:15" x14ac:dyDescent="0.45">
      <c r="F44" s="147" t="s">
        <v>202</v>
      </c>
      <c r="G44" s="22">
        <v>94.1</v>
      </c>
      <c r="H44">
        <f t="shared" si="0"/>
        <v>0.91448007774538376</v>
      </c>
      <c r="I44">
        <f t="shared" si="1"/>
        <v>0.89704480457578639</v>
      </c>
      <c r="K44" s="148" t="s">
        <v>244</v>
      </c>
      <c r="L44" s="67" t="s">
        <v>244</v>
      </c>
      <c r="M44" t="str">
        <f t="shared" si="5"/>
        <v/>
      </c>
      <c r="N44" t="str">
        <f t="shared" si="7"/>
        <v/>
      </c>
      <c r="O44" t="str">
        <f t="shared" si="3"/>
        <v/>
      </c>
    </row>
    <row r="45" spans="1:15" x14ac:dyDescent="0.45">
      <c r="F45" s="147" t="s">
        <v>244</v>
      </c>
      <c r="G45" s="28" t="s">
        <v>244</v>
      </c>
      <c r="H45" t="str">
        <f t="shared" si="0"/>
        <v/>
      </c>
      <c r="I45" t="str">
        <f t="shared" si="1"/>
        <v/>
      </c>
      <c r="K45" s="148" t="s">
        <v>202</v>
      </c>
      <c r="L45" s="68">
        <v>93.03</v>
      </c>
      <c r="M45">
        <f t="shared" si="5"/>
        <v>0.87963313161875945</v>
      </c>
      <c r="N45">
        <f t="shared" si="7"/>
        <v>0.85489799669178468</v>
      </c>
      <c r="O45">
        <f t="shared" si="3"/>
        <v>0.88566260472201064</v>
      </c>
    </row>
    <row r="46" spans="1:15" x14ac:dyDescent="0.45">
      <c r="F46" s="147" t="s">
        <v>203</v>
      </c>
      <c r="G46" s="22">
        <v>96.6</v>
      </c>
      <c r="H46">
        <f t="shared" si="0"/>
        <v>0.93877551020408156</v>
      </c>
      <c r="I46">
        <f t="shared" si="1"/>
        <v>0.9208770257387987</v>
      </c>
      <c r="K46" s="148" t="s">
        <v>244</v>
      </c>
      <c r="L46" s="67" t="s">
        <v>244</v>
      </c>
      <c r="M46" t="str">
        <f t="shared" si="5"/>
        <v/>
      </c>
      <c r="N46" t="str">
        <f t="shared" si="7"/>
        <v/>
      </c>
      <c r="O46" t="str">
        <f t="shared" si="3"/>
        <v/>
      </c>
    </row>
    <row r="47" spans="1:15" x14ac:dyDescent="0.45">
      <c r="F47" s="147" t="s">
        <v>244</v>
      </c>
      <c r="G47" s="28" t="s">
        <v>244</v>
      </c>
      <c r="H47" t="str">
        <f t="shared" si="0"/>
        <v/>
      </c>
      <c r="I47" t="str">
        <f t="shared" si="1"/>
        <v/>
      </c>
      <c r="K47" s="148" t="s">
        <v>203</v>
      </c>
      <c r="L47" s="68">
        <v>95.69</v>
      </c>
      <c r="M47">
        <f t="shared" si="5"/>
        <v>0.90478441754916783</v>
      </c>
      <c r="N47">
        <f t="shared" si="7"/>
        <v>0.87934203271457456</v>
      </c>
      <c r="O47">
        <f t="shared" si="3"/>
        <v>0.91098629093678596</v>
      </c>
    </row>
    <row r="48" spans="1:15" x14ac:dyDescent="0.45">
      <c r="F48" s="147" t="s">
        <v>204</v>
      </c>
      <c r="G48" s="22">
        <v>98.9</v>
      </c>
      <c r="H48">
        <f t="shared" si="0"/>
        <v>0.9611273080660836</v>
      </c>
      <c r="I48">
        <f t="shared" si="1"/>
        <v>0.94280266920877021</v>
      </c>
      <c r="K48" s="148" t="s">
        <v>244</v>
      </c>
      <c r="L48" s="67" t="s">
        <v>244</v>
      </c>
      <c r="M48" t="str">
        <f t="shared" si="5"/>
        <v/>
      </c>
      <c r="N48" t="str">
        <f t="shared" si="7"/>
        <v/>
      </c>
      <c r="O48" t="str">
        <f t="shared" si="3"/>
        <v/>
      </c>
    </row>
    <row r="49" spans="2:15" x14ac:dyDescent="0.45">
      <c r="F49" s="147" t="s">
        <v>244</v>
      </c>
      <c r="G49" s="28" t="s">
        <v>244</v>
      </c>
      <c r="H49" t="str">
        <f t="shared" si="0"/>
        <v/>
      </c>
      <c r="I49" t="str">
        <f t="shared" si="1"/>
        <v/>
      </c>
      <c r="K49" s="148" t="s">
        <v>204</v>
      </c>
      <c r="L49" s="68">
        <v>98.19</v>
      </c>
      <c r="M49">
        <f t="shared" si="5"/>
        <v>0.92842284417549159</v>
      </c>
      <c r="N49">
        <f t="shared" si="7"/>
        <v>0.90231575078110648</v>
      </c>
      <c r="O49">
        <f t="shared" ref="O49:O67" si="8">IF(ISNUMBER(L49), L49/$L$63, "")</f>
        <v>0.93478674790555971</v>
      </c>
    </row>
    <row r="50" spans="2:15" x14ac:dyDescent="0.45">
      <c r="F50" s="147" t="s">
        <v>205</v>
      </c>
      <c r="G50" s="22">
        <v>99.4</v>
      </c>
      <c r="H50">
        <f t="shared" si="0"/>
        <v>0.96598639455782309</v>
      </c>
      <c r="I50">
        <f t="shared" si="1"/>
        <v>0.94756911344137273</v>
      </c>
      <c r="K50" s="148" t="s">
        <v>244</v>
      </c>
      <c r="L50" s="67" t="s">
        <v>244</v>
      </c>
      <c r="M50" t="str">
        <f t="shared" si="5"/>
        <v/>
      </c>
      <c r="N50" t="str">
        <f t="shared" si="7"/>
        <v/>
      </c>
      <c r="O50" t="str">
        <f t="shared" si="8"/>
        <v/>
      </c>
    </row>
    <row r="51" spans="2:15" x14ac:dyDescent="0.45">
      <c r="B51" s="14" t="s">
        <v>244</v>
      </c>
      <c r="F51" s="147" t="s">
        <v>244</v>
      </c>
      <c r="G51" s="28" t="s">
        <v>244</v>
      </c>
      <c r="H51" t="str">
        <f t="shared" si="0"/>
        <v/>
      </c>
      <c r="I51" t="str">
        <f t="shared" si="1"/>
        <v/>
      </c>
      <c r="K51" s="148" t="s">
        <v>205</v>
      </c>
      <c r="L51" s="68">
        <v>99.49</v>
      </c>
      <c r="M51">
        <f t="shared" si="5"/>
        <v>0.94071482602117995</v>
      </c>
      <c r="N51">
        <f t="shared" si="7"/>
        <v>0.91426208417570298</v>
      </c>
      <c r="O51">
        <f t="shared" si="8"/>
        <v>0.9471629855293221</v>
      </c>
    </row>
    <row r="52" spans="2:15" x14ac:dyDescent="0.45">
      <c r="F52" s="147" t="s">
        <v>206</v>
      </c>
      <c r="G52" s="22">
        <v>99.8</v>
      </c>
      <c r="H52">
        <f t="shared" si="0"/>
        <v>0.96987366375121464</v>
      </c>
      <c r="I52">
        <f t="shared" si="1"/>
        <v>0.95138226882745469</v>
      </c>
      <c r="K52" s="148" t="s">
        <v>244</v>
      </c>
      <c r="L52" s="67" t="s">
        <v>244</v>
      </c>
      <c r="M52" t="str">
        <f t="shared" si="5"/>
        <v/>
      </c>
      <c r="N52" t="str">
        <f t="shared" si="7"/>
        <v/>
      </c>
      <c r="O52" t="str">
        <f t="shared" si="8"/>
        <v/>
      </c>
    </row>
    <row r="53" spans="2:15" x14ac:dyDescent="0.45">
      <c r="F53" s="147" t="s">
        <v>244</v>
      </c>
      <c r="G53" s="28" t="s">
        <v>244</v>
      </c>
      <c r="H53" t="str">
        <f t="shared" si="0"/>
        <v/>
      </c>
      <c r="I53" t="str">
        <f t="shared" si="1"/>
        <v/>
      </c>
      <c r="K53" s="148" t="s">
        <v>206</v>
      </c>
      <c r="L53" s="68">
        <v>99.89</v>
      </c>
      <c r="M53">
        <f t="shared" si="5"/>
        <v>0.94449697428139179</v>
      </c>
      <c r="N53">
        <f t="shared" si="7"/>
        <v>0.91793787906634816</v>
      </c>
      <c r="O53">
        <f t="shared" si="8"/>
        <v>0.95097105864432596</v>
      </c>
    </row>
    <row r="54" spans="2:15" x14ac:dyDescent="0.45">
      <c r="F54" s="147" t="s">
        <v>207</v>
      </c>
      <c r="G54" s="29">
        <v>100</v>
      </c>
      <c r="H54">
        <f t="shared" si="0"/>
        <v>0.97181729834791053</v>
      </c>
      <c r="I54">
        <f t="shared" si="1"/>
        <v>0.95328884652049561</v>
      </c>
      <c r="K54" s="148" t="s">
        <v>244</v>
      </c>
      <c r="L54" s="67" t="s">
        <v>244</v>
      </c>
      <c r="M54" t="str">
        <f t="shared" si="5"/>
        <v/>
      </c>
      <c r="N54" t="str">
        <f t="shared" si="7"/>
        <v/>
      </c>
      <c r="O54" t="str">
        <f t="shared" si="8"/>
        <v/>
      </c>
    </row>
    <row r="55" spans="2:15" x14ac:dyDescent="0.45">
      <c r="F55" s="147" t="s">
        <v>244</v>
      </c>
      <c r="G55" s="28" t="s">
        <v>244</v>
      </c>
      <c r="H55" t="str">
        <f t="shared" si="0"/>
        <v/>
      </c>
      <c r="I55" t="str">
        <f t="shared" si="1"/>
        <v/>
      </c>
      <c r="K55" s="148" t="s">
        <v>207</v>
      </c>
      <c r="L55" s="69">
        <v>100</v>
      </c>
      <c r="M55">
        <f t="shared" si="5"/>
        <v>0.94553706505294999</v>
      </c>
      <c r="N55">
        <f t="shared" si="7"/>
        <v>0.91894872266127559</v>
      </c>
      <c r="O55">
        <f t="shared" si="8"/>
        <v>0.95201827875095191</v>
      </c>
    </row>
    <row r="56" spans="2:15" x14ac:dyDescent="0.45">
      <c r="F56" s="147" t="s">
        <v>208</v>
      </c>
      <c r="G56" s="29">
        <v>100</v>
      </c>
      <c r="H56">
        <f t="shared" si="0"/>
        <v>0.97181729834791053</v>
      </c>
      <c r="I56">
        <f t="shared" si="1"/>
        <v>0.95328884652049561</v>
      </c>
      <c r="K56" s="148" t="s">
        <v>244</v>
      </c>
      <c r="L56" s="67" t="s">
        <v>244</v>
      </c>
      <c r="M56" t="str">
        <f t="shared" si="5"/>
        <v/>
      </c>
      <c r="N56" t="str">
        <f t="shared" si="7"/>
        <v/>
      </c>
      <c r="O56" t="str">
        <f t="shared" si="8"/>
        <v/>
      </c>
    </row>
    <row r="57" spans="2:15" x14ac:dyDescent="0.45">
      <c r="F57" s="147" t="s">
        <v>244</v>
      </c>
      <c r="G57" s="28" t="s">
        <v>244</v>
      </c>
      <c r="H57" t="str">
        <f t="shared" si="0"/>
        <v/>
      </c>
      <c r="I57" t="str">
        <f t="shared" si="1"/>
        <v/>
      </c>
      <c r="K57" s="148" t="s">
        <v>208</v>
      </c>
      <c r="L57" s="68">
        <v>100.18</v>
      </c>
      <c r="M57">
        <f t="shared" si="5"/>
        <v>0.94723903177004543</v>
      </c>
      <c r="N57">
        <f t="shared" si="7"/>
        <v>0.92060283036206592</v>
      </c>
      <c r="O57">
        <f t="shared" si="8"/>
        <v>0.95373191165270377</v>
      </c>
    </row>
    <row r="58" spans="2:15" x14ac:dyDescent="0.45">
      <c r="F58" s="147" t="s">
        <v>209</v>
      </c>
      <c r="G58" s="22">
        <v>101.1</v>
      </c>
      <c r="H58">
        <f t="shared" si="0"/>
        <v>0.98250728862973746</v>
      </c>
      <c r="I58">
        <f t="shared" si="1"/>
        <v>0.96377502383222102</v>
      </c>
      <c r="K58" s="148" t="s">
        <v>244</v>
      </c>
      <c r="L58" s="67" t="s">
        <v>244</v>
      </c>
      <c r="M58" t="str">
        <f t="shared" si="5"/>
        <v/>
      </c>
      <c r="N58" t="str">
        <f t="shared" si="7"/>
        <v/>
      </c>
      <c r="O58" t="str">
        <f t="shared" si="8"/>
        <v/>
      </c>
    </row>
    <row r="59" spans="2:15" x14ac:dyDescent="0.45">
      <c r="F59" s="147" t="s">
        <v>244</v>
      </c>
      <c r="G59" s="28" t="s">
        <v>244</v>
      </c>
      <c r="H59" t="str">
        <f t="shared" si="0"/>
        <v/>
      </c>
      <c r="I59" t="str">
        <f t="shared" si="1"/>
        <v/>
      </c>
      <c r="K59" s="148" t="s">
        <v>209</v>
      </c>
      <c r="L59" s="68">
        <v>101.74</v>
      </c>
      <c r="M59">
        <f t="shared" si="5"/>
        <v>0.96198940998487126</v>
      </c>
      <c r="N59">
        <f t="shared" si="7"/>
        <v>0.93493843043558167</v>
      </c>
      <c r="O59">
        <f t="shared" si="8"/>
        <v>0.96858339680121852</v>
      </c>
    </row>
    <row r="60" spans="2:15" x14ac:dyDescent="0.45">
      <c r="F60" s="147" t="s">
        <v>210</v>
      </c>
      <c r="G60" s="22">
        <v>101.8</v>
      </c>
      <c r="H60">
        <f t="shared" si="0"/>
        <v>0.98931000971817296</v>
      </c>
      <c r="I60">
        <f t="shared" si="1"/>
        <v>0.97044804575786459</v>
      </c>
      <c r="K60" s="148" t="s">
        <v>244</v>
      </c>
      <c r="L60" s="67" t="s">
        <v>244</v>
      </c>
      <c r="M60" t="str">
        <f t="shared" si="5"/>
        <v/>
      </c>
      <c r="N60" t="str">
        <f t="shared" si="7"/>
        <v/>
      </c>
      <c r="O60" t="str">
        <f t="shared" si="8"/>
        <v/>
      </c>
    </row>
    <row r="61" spans="2:15" x14ac:dyDescent="0.45">
      <c r="F61" s="147" t="s">
        <v>244</v>
      </c>
      <c r="G61" s="28" t="s">
        <v>244</v>
      </c>
      <c r="H61" t="str">
        <f t="shared" si="0"/>
        <v/>
      </c>
      <c r="I61" t="str">
        <f t="shared" si="1"/>
        <v/>
      </c>
      <c r="K61" s="148" t="s">
        <v>210</v>
      </c>
      <c r="L61" s="68">
        <v>103.57</v>
      </c>
      <c r="M61">
        <f t="shared" si="5"/>
        <v>0.97929273827534025</v>
      </c>
      <c r="N61">
        <f t="shared" si="7"/>
        <v>0.95175519206028303</v>
      </c>
      <c r="O61">
        <f t="shared" si="8"/>
        <v>0.9860053313023609</v>
      </c>
    </row>
    <row r="62" spans="2:15" x14ac:dyDescent="0.45">
      <c r="F62" s="147" t="s">
        <v>211</v>
      </c>
      <c r="G62" s="22">
        <v>102.5</v>
      </c>
      <c r="H62">
        <f t="shared" si="0"/>
        <v>0.99611273080660834</v>
      </c>
      <c r="I62">
        <f t="shared" si="1"/>
        <v>0.97712106768350804</v>
      </c>
      <c r="K62" s="148" t="s">
        <v>244</v>
      </c>
      <c r="L62" s="67" t="s">
        <v>244</v>
      </c>
      <c r="M62" t="str">
        <f t="shared" si="5"/>
        <v/>
      </c>
      <c r="N62" t="str">
        <f t="shared" si="7"/>
        <v/>
      </c>
      <c r="O62" t="str">
        <f t="shared" si="8"/>
        <v/>
      </c>
    </row>
    <row r="63" spans="2:15" x14ac:dyDescent="0.45">
      <c r="F63" s="147" t="s">
        <v>244</v>
      </c>
      <c r="G63" s="28" t="s">
        <v>244</v>
      </c>
      <c r="H63" t="str">
        <f t="shared" si="0"/>
        <v/>
      </c>
      <c r="I63" t="str">
        <f t="shared" si="1"/>
        <v/>
      </c>
      <c r="K63" s="148" t="s">
        <v>211</v>
      </c>
      <c r="L63" s="68">
        <v>105.04</v>
      </c>
      <c r="M63">
        <f t="shared" si="5"/>
        <v>0.9931921331316188</v>
      </c>
      <c r="N63">
        <f t="shared" si="7"/>
        <v>0.96526373828340395</v>
      </c>
      <c r="O63">
        <f t="shared" si="8"/>
        <v>1</v>
      </c>
    </row>
    <row r="64" spans="2:15" x14ac:dyDescent="0.45">
      <c r="F64" s="147" t="s">
        <v>212</v>
      </c>
      <c r="G64" s="22">
        <v>102.9</v>
      </c>
      <c r="H64">
        <f t="shared" si="0"/>
        <v>1</v>
      </c>
      <c r="I64">
        <f t="shared" si="1"/>
        <v>0.98093422306959011</v>
      </c>
      <c r="K64" s="148" t="s">
        <v>244</v>
      </c>
      <c r="L64" s="67" t="s">
        <v>244</v>
      </c>
      <c r="M64" t="str">
        <f t="shared" si="5"/>
        <v/>
      </c>
      <c r="N64" t="str">
        <f t="shared" si="7"/>
        <v/>
      </c>
      <c r="O64" t="str">
        <f t="shared" si="8"/>
        <v/>
      </c>
    </row>
    <row r="65" spans="6:15" x14ac:dyDescent="0.45">
      <c r="F65" s="147" t="s">
        <v>244</v>
      </c>
      <c r="G65" s="28" t="s">
        <v>244</v>
      </c>
      <c r="H65" t="str">
        <f t="shared" si="0"/>
        <v/>
      </c>
      <c r="I65" t="str">
        <f t="shared" si="1"/>
        <v/>
      </c>
      <c r="K65" s="148" t="s">
        <v>212</v>
      </c>
      <c r="L65" s="68">
        <v>105.76</v>
      </c>
      <c r="M65">
        <f t="shared" si="5"/>
        <v>1</v>
      </c>
      <c r="N65">
        <f t="shared" si="7"/>
        <v>0.97188016908656505</v>
      </c>
      <c r="O65">
        <f t="shared" si="8"/>
        <v>1.0068545316070068</v>
      </c>
    </row>
    <row r="66" spans="6:15" x14ac:dyDescent="0.45">
      <c r="F66" s="147" t="s">
        <v>213</v>
      </c>
      <c r="G66" s="22">
        <v>104.9</v>
      </c>
      <c r="H66">
        <f t="shared" si="0"/>
        <v>1.0194363459669582</v>
      </c>
      <c r="I66">
        <f t="shared" si="1"/>
        <v>1</v>
      </c>
      <c r="K66" s="148" t="s">
        <v>244</v>
      </c>
      <c r="L66" s="67" t="s">
        <v>244</v>
      </c>
      <c r="M66" t="str">
        <f t="shared" si="5"/>
        <v/>
      </c>
      <c r="N66" t="str">
        <f t="shared" si="7"/>
        <v/>
      </c>
      <c r="O66" t="str">
        <f t="shared" si="8"/>
        <v/>
      </c>
    </row>
    <row r="67" spans="6:15" x14ac:dyDescent="0.45">
      <c r="F67" s="147" t="s">
        <v>244</v>
      </c>
      <c r="H67" t="str">
        <f t="shared" si="0"/>
        <v/>
      </c>
      <c r="I67" t="str">
        <f t="shared" si="1"/>
        <v/>
      </c>
      <c r="K67" s="148" t="s">
        <v>213</v>
      </c>
      <c r="L67" s="68">
        <v>108.82</v>
      </c>
      <c r="M67">
        <f t="shared" si="5"/>
        <v>1.0289334341906202</v>
      </c>
      <c r="N67">
        <f t="shared" si="7"/>
        <v>1</v>
      </c>
      <c r="O67">
        <f t="shared" si="8"/>
        <v>1.0359862909367858</v>
      </c>
    </row>
    <row r="68" spans="6:15" x14ac:dyDescent="0.45">
      <c r="K68" s="148" t="s">
        <v>244</v>
      </c>
      <c r="L68" s="67" t="s">
        <v>244</v>
      </c>
      <c r="M68" t="str">
        <f t="shared" si="5"/>
        <v/>
      </c>
      <c r="N68" t="str">
        <f t="shared" si="7"/>
        <v/>
      </c>
    </row>
  </sheetData>
  <mergeCells count="52">
    <mergeCell ref="K65:K66"/>
    <mergeCell ref="K67:K68"/>
    <mergeCell ref="K55:K56"/>
    <mergeCell ref="K57:K58"/>
    <mergeCell ref="K59:K60"/>
    <mergeCell ref="K61:K62"/>
    <mergeCell ref="K63:K64"/>
    <mergeCell ref="K45:K46"/>
    <mergeCell ref="K47:K48"/>
    <mergeCell ref="K49:K50"/>
    <mergeCell ref="K51:K52"/>
    <mergeCell ref="K53:K54"/>
    <mergeCell ref="K35:K36"/>
    <mergeCell ref="K37:K38"/>
    <mergeCell ref="K39:K40"/>
    <mergeCell ref="K41:K42"/>
    <mergeCell ref="K43:K44"/>
    <mergeCell ref="K25:K26"/>
    <mergeCell ref="K27:K28"/>
    <mergeCell ref="K29:K30"/>
    <mergeCell ref="K31:K32"/>
    <mergeCell ref="K33:K34"/>
    <mergeCell ref="K17:K18"/>
    <mergeCell ref="K19:K20"/>
    <mergeCell ref="K21:K22"/>
    <mergeCell ref="K23:K24"/>
    <mergeCell ref="F60:F61"/>
    <mergeCell ref="F16:F17"/>
    <mergeCell ref="F18:F19"/>
    <mergeCell ref="F20:F21"/>
    <mergeCell ref="F22:F23"/>
    <mergeCell ref="F46:F47"/>
    <mergeCell ref="F24:F25"/>
    <mergeCell ref="F26:F27"/>
    <mergeCell ref="F28:F29"/>
    <mergeCell ref="F30:F31"/>
    <mergeCell ref="F32:F33"/>
    <mergeCell ref="F34:F35"/>
    <mergeCell ref="F62:F63"/>
    <mergeCell ref="F64:F65"/>
    <mergeCell ref="F66:F67"/>
    <mergeCell ref="F48:F49"/>
    <mergeCell ref="F50:F51"/>
    <mergeCell ref="F52:F53"/>
    <mergeCell ref="F54:F55"/>
    <mergeCell ref="F56:F57"/>
    <mergeCell ref="F58:F59"/>
    <mergeCell ref="F36:F37"/>
    <mergeCell ref="F38:F39"/>
    <mergeCell ref="F40:F41"/>
    <mergeCell ref="F42:F43"/>
    <mergeCell ref="F44:F45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3:O181"/>
  <sheetViews>
    <sheetView topLeftCell="A97" zoomScale="85" zoomScaleNormal="85" workbookViewId="0">
      <selection activeCell="B178" sqref="B178:E181"/>
    </sheetView>
  </sheetViews>
  <sheetFormatPr defaultRowHeight="14.25" x14ac:dyDescent="0.45"/>
  <sheetData>
    <row r="3" spans="2:4" s="81" customFormat="1" x14ac:dyDescent="0.45">
      <c r="B3" s="81" t="s">
        <v>760</v>
      </c>
    </row>
    <row r="5" spans="2:4" x14ac:dyDescent="0.45">
      <c r="B5" t="s">
        <v>724</v>
      </c>
      <c r="C5" t="s">
        <v>761</v>
      </c>
    </row>
    <row r="15" spans="2:4" x14ac:dyDescent="0.45">
      <c r="B15" t="s">
        <v>762</v>
      </c>
      <c r="C15">
        <v>240</v>
      </c>
      <c r="D15" t="s">
        <v>763</v>
      </c>
    </row>
    <row r="16" spans="2:4" x14ac:dyDescent="0.45">
      <c r="B16" t="s">
        <v>764</v>
      </c>
      <c r="C16">
        <f>1/C15</f>
        <v>4.1666666666666666E-3</v>
      </c>
      <c r="D16" t="s">
        <v>765</v>
      </c>
    </row>
    <row r="17" spans="2:4" x14ac:dyDescent="0.45">
      <c r="B17" t="s">
        <v>767</v>
      </c>
      <c r="C17">
        <f>C16*3600</f>
        <v>15</v>
      </c>
      <c r="D17" t="s">
        <v>766</v>
      </c>
    </row>
    <row r="19" spans="2:4" s="81" customFormat="1" x14ac:dyDescent="0.45">
      <c r="B19" s="81" t="s">
        <v>768</v>
      </c>
    </row>
    <row r="22" spans="2:4" x14ac:dyDescent="0.45">
      <c r="B22" t="s">
        <v>762</v>
      </c>
      <c r="C22">
        <v>900</v>
      </c>
      <c r="D22" t="s">
        <v>763</v>
      </c>
    </row>
    <row r="23" spans="2:4" x14ac:dyDescent="0.45">
      <c r="B23" t="s">
        <v>764</v>
      </c>
      <c r="C23">
        <f>1/C22</f>
        <v>1.1111111111111111E-3</v>
      </c>
      <c r="D23" t="s">
        <v>765</v>
      </c>
    </row>
    <row r="24" spans="2:4" x14ac:dyDescent="0.45">
      <c r="B24" t="s">
        <v>767</v>
      </c>
      <c r="C24">
        <f>C23*3600</f>
        <v>4</v>
      </c>
      <c r="D24" t="s">
        <v>766</v>
      </c>
    </row>
    <row r="28" spans="2:4" s="81" customFormat="1" x14ac:dyDescent="0.45">
      <c r="B28" s="81" t="s">
        <v>769</v>
      </c>
    </row>
    <row r="30" spans="2:4" x14ac:dyDescent="0.45">
      <c r="B30" t="s">
        <v>724</v>
      </c>
      <c r="C30" t="s">
        <v>761</v>
      </c>
    </row>
    <row r="39" spans="2:5" x14ac:dyDescent="0.45">
      <c r="B39" t="s">
        <v>762</v>
      </c>
      <c r="C39">
        <v>2.5</v>
      </c>
      <c r="D39" t="s">
        <v>771</v>
      </c>
    </row>
    <row r="40" spans="2:5" x14ac:dyDescent="0.45">
      <c r="B40" t="s">
        <v>785</v>
      </c>
      <c r="C40">
        <f>1/C39</f>
        <v>0.4</v>
      </c>
      <c r="D40" t="s">
        <v>772</v>
      </c>
    </row>
    <row r="41" spans="2:5" x14ac:dyDescent="0.45">
      <c r="B41" t="s">
        <v>767</v>
      </c>
      <c r="C41">
        <f>C40/24</f>
        <v>1.6666666666666666E-2</v>
      </c>
      <c r="D41" t="s">
        <v>766</v>
      </c>
      <c r="E41" t="s">
        <v>776</v>
      </c>
    </row>
    <row r="44" spans="2:5" s="81" customFormat="1" x14ac:dyDescent="0.45">
      <c r="B44" s="81" t="s">
        <v>770</v>
      </c>
    </row>
    <row r="46" spans="2:5" x14ac:dyDescent="0.45">
      <c r="B46" t="s">
        <v>724</v>
      </c>
      <c r="C46" t="s">
        <v>761</v>
      </c>
    </row>
    <row r="53" spans="2:15" x14ac:dyDescent="0.45">
      <c r="B53" t="s">
        <v>762</v>
      </c>
      <c r="C53">
        <v>2.5</v>
      </c>
      <c r="D53" t="s">
        <v>771</v>
      </c>
    </row>
    <row r="54" spans="2:15" x14ac:dyDescent="0.45">
      <c r="B54" t="s">
        <v>785</v>
      </c>
      <c r="C54">
        <f>1/C53</f>
        <v>0.4</v>
      </c>
      <c r="D54" t="s">
        <v>772</v>
      </c>
    </row>
    <row r="55" spans="2:15" x14ac:dyDescent="0.45">
      <c r="B55" t="s">
        <v>767</v>
      </c>
      <c r="C55">
        <f>C54/24</f>
        <v>1.6666666666666666E-2</v>
      </c>
      <c r="D55" t="s">
        <v>766</v>
      </c>
      <c r="E55" t="s">
        <v>776</v>
      </c>
    </row>
    <row r="57" spans="2:15" x14ac:dyDescent="0.45">
      <c r="B57" t="s">
        <v>780</v>
      </c>
      <c r="E57" s="82">
        <v>1000000000000</v>
      </c>
      <c r="M57" t="s">
        <v>777</v>
      </c>
      <c r="O57" t="s">
        <v>778</v>
      </c>
    </row>
    <row r="58" spans="2:15" x14ac:dyDescent="0.45">
      <c r="B58" t="s">
        <v>781</v>
      </c>
      <c r="E58">
        <v>0.35</v>
      </c>
      <c r="M58" t="s">
        <v>779</v>
      </c>
    </row>
    <row r="60" spans="2:15" s="81" customFormat="1" x14ac:dyDescent="0.45">
      <c r="B60" s="81" t="s">
        <v>773</v>
      </c>
    </row>
    <row r="62" spans="2:15" x14ac:dyDescent="0.45">
      <c r="B62" t="s">
        <v>1</v>
      </c>
      <c r="C62" t="s">
        <v>761</v>
      </c>
    </row>
    <row r="71" spans="2:5" x14ac:dyDescent="0.45">
      <c r="B71" t="s">
        <v>762</v>
      </c>
      <c r="C71">
        <v>2.5</v>
      </c>
      <c r="D71" t="s">
        <v>771</v>
      </c>
    </row>
    <row r="72" spans="2:5" x14ac:dyDescent="0.45">
      <c r="B72" t="s">
        <v>785</v>
      </c>
      <c r="C72">
        <f>1/C71</f>
        <v>0.4</v>
      </c>
      <c r="D72" t="s">
        <v>772</v>
      </c>
    </row>
    <row r="73" spans="2:5" x14ac:dyDescent="0.45">
      <c r="B73" t="s">
        <v>767</v>
      </c>
      <c r="C73">
        <f>C72/24</f>
        <v>1.6666666666666666E-2</v>
      </c>
      <c r="D73" t="s">
        <v>766</v>
      </c>
      <c r="E73" t="s">
        <v>776</v>
      </c>
    </row>
    <row r="75" spans="2:5" x14ac:dyDescent="0.45">
      <c r="B75" t="s">
        <v>780</v>
      </c>
      <c r="E75" s="82">
        <v>1000000000000</v>
      </c>
    </row>
    <row r="76" spans="2:5" x14ac:dyDescent="0.45">
      <c r="B76" t="s">
        <v>781</v>
      </c>
      <c r="E76">
        <v>0.35</v>
      </c>
    </row>
    <row r="78" spans="2:5" s="81" customFormat="1" x14ac:dyDescent="0.45">
      <c r="B78" s="81" t="s">
        <v>774</v>
      </c>
    </row>
    <row r="80" spans="2:5" x14ac:dyDescent="0.45">
      <c r="B80" t="s">
        <v>1</v>
      </c>
      <c r="C80" t="s">
        <v>761</v>
      </c>
    </row>
    <row r="91" spans="2:5" x14ac:dyDescent="0.45">
      <c r="B91" t="s">
        <v>762</v>
      </c>
      <c r="C91">
        <v>2.5</v>
      </c>
      <c r="D91" t="s">
        <v>771</v>
      </c>
    </row>
    <row r="92" spans="2:5" x14ac:dyDescent="0.45">
      <c r="B92" t="s">
        <v>785</v>
      </c>
      <c r="C92">
        <f>1/C91</f>
        <v>0.4</v>
      </c>
      <c r="D92" t="s">
        <v>772</v>
      </c>
    </row>
    <row r="93" spans="2:5" x14ac:dyDescent="0.45">
      <c r="B93" t="s">
        <v>767</v>
      </c>
      <c r="C93">
        <f>C92/24</f>
        <v>1.6666666666666666E-2</v>
      </c>
      <c r="D93" t="s">
        <v>766</v>
      </c>
      <c r="E93" t="s">
        <v>776</v>
      </c>
    </row>
    <row r="98" spans="2:3" s="81" customFormat="1" x14ac:dyDescent="0.45">
      <c r="B98" s="81" t="s">
        <v>775</v>
      </c>
    </row>
    <row r="100" spans="2:3" x14ac:dyDescent="0.45">
      <c r="B100" t="s">
        <v>1</v>
      </c>
      <c r="C100" t="s">
        <v>761</v>
      </c>
    </row>
    <row r="134" spans="2:6" x14ac:dyDescent="0.45">
      <c r="B134" t="s">
        <v>762</v>
      </c>
      <c r="C134">
        <v>2</v>
      </c>
      <c r="D134" t="s">
        <v>783</v>
      </c>
      <c r="E134" t="s">
        <v>784</v>
      </c>
    </row>
    <row r="135" spans="2:6" x14ac:dyDescent="0.45">
      <c r="B135" t="s">
        <v>767</v>
      </c>
      <c r="C135">
        <f>1/C134</f>
        <v>0.5</v>
      </c>
      <c r="D135" t="s">
        <v>766</v>
      </c>
      <c r="E135" t="s">
        <v>776</v>
      </c>
    </row>
    <row r="138" spans="2:6" x14ac:dyDescent="0.45">
      <c r="B138" t="s">
        <v>780</v>
      </c>
      <c r="E138" s="82">
        <v>1000000000000</v>
      </c>
    </row>
    <row r="139" spans="2:6" x14ac:dyDescent="0.45">
      <c r="B139" t="s">
        <v>781</v>
      </c>
      <c r="E139">
        <v>0.2</v>
      </c>
      <c r="F139" t="s">
        <v>782</v>
      </c>
    </row>
    <row r="141" spans="2:6" s="81" customFormat="1" x14ac:dyDescent="0.45">
      <c r="B141" s="81" t="s">
        <v>791</v>
      </c>
    </row>
    <row r="143" spans="2:6" x14ac:dyDescent="0.45">
      <c r="B143" t="s">
        <v>1</v>
      </c>
      <c r="C143" t="s">
        <v>761</v>
      </c>
    </row>
    <row r="149" spans="2:5" x14ac:dyDescent="0.45">
      <c r="B149" t="s">
        <v>793</v>
      </c>
    </row>
    <row r="151" spans="2:5" x14ac:dyDescent="0.45">
      <c r="B151" t="s">
        <v>780</v>
      </c>
      <c r="E151" s="82">
        <v>1000000000000</v>
      </c>
    </row>
    <row r="152" spans="2:5" x14ac:dyDescent="0.45">
      <c r="B152" t="s">
        <v>781</v>
      </c>
      <c r="E152">
        <v>0.35</v>
      </c>
    </row>
    <row r="155" spans="2:5" s="81" customFormat="1" x14ac:dyDescent="0.45">
      <c r="B155" s="81" t="s">
        <v>794</v>
      </c>
    </row>
    <row r="157" spans="2:5" x14ac:dyDescent="0.45">
      <c r="B157" t="s">
        <v>1</v>
      </c>
      <c r="C157" t="s">
        <v>761</v>
      </c>
    </row>
    <row r="165" spans="5:5" x14ac:dyDescent="0.45">
      <c r="E165" s="82"/>
    </row>
    <row r="178" spans="2:5" x14ac:dyDescent="0.45">
      <c r="B178" t="s">
        <v>793</v>
      </c>
    </row>
    <row r="180" spans="2:5" x14ac:dyDescent="0.45">
      <c r="B180" t="s">
        <v>780</v>
      </c>
      <c r="E180" s="82">
        <v>1000000000000</v>
      </c>
    </row>
    <row r="181" spans="2:5" x14ac:dyDescent="0.45">
      <c r="B181" t="s">
        <v>781</v>
      </c>
      <c r="E181">
        <v>0.35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J30"/>
  <sheetViews>
    <sheetView zoomScale="85" zoomScaleNormal="85" workbookViewId="0">
      <selection activeCell="F13" sqref="F13"/>
    </sheetView>
  </sheetViews>
  <sheetFormatPr defaultRowHeight="14.25" x14ac:dyDescent="0.45"/>
  <sheetData>
    <row r="1" spans="1:36" x14ac:dyDescent="0.45">
      <c r="A1" t="s">
        <v>724</v>
      </c>
      <c r="B1" t="s">
        <v>894</v>
      </c>
    </row>
    <row r="2" spans="1:36" x14ac:dyDescent="0.45">
      <c r="B2" t="s">
        <v>895</v>
      </c>
    </row>
    <row r="4" spans="1:36" s="81" customFormat="1" x14ac:dyDescent="0.45">
      <c r="A4" s="81" t="s">
        <v>6</v>
      </c>
      <c r="B4" s="113" t="s">
        <v>795</v>
      </c>
      <c r="C4" s="114"/>
      <c r="D4" s="115"/>
      <c r="E4" s="115"/>
      <c r="F4" s="115"/>
      <c r="G4" s="115"/>
      <c r="H4" s="115"/>
      <c r="I4" s="115"/>
      <c r="J4" s="115"/>
      <c r="K4" s="115"/>
      <c r="L4" s="115"/>
      <c r="M4" s="115"/>
      <c r="N4" s="115"/>
      <c r="O4" s="115"/>
      <c r="P4" s="115"/>
      <c r="Q4" s="115"/>
      <c r="R4" s="115"/>
      <c r="S4" s="115"/>
      <c r="T4" s="115"/>
      <c r="U4" s="115"/>
      <c r="V4" s="115"/>
      <c r="W4" s="115"/>
      <c r="X4" s="115"/>
      <c r="Y4" s="115"/>
      <c r="Z4" s="116"/>
      <c r="AA4" s="115"/>
      <c r="AB4" s="116"/>
      <c r="AC4" s="115"/>
      <c r="AD4" s="115"/>
      <c r="AE4" s="115"/>
      <c r="AF4" s="115"/>
      <c r="AG4" s="115"/>
      <c r="AH4" s="115"/>
      <c r="AI4" s="115"/>
      <c r="AJ4" s="115"/>
    </row>
    <row r="5" spans="1:36" ht="39.4" x14ac:dyDescent="0.45">
      <c r="B5" s="85" t="s">
        <v>796</v>
      </c>
      <c r="C5" s="86"/>
      <c r="D5" s="87" t="s">
        <v>277</v>
      </c>
      <c r="E5" s="87" t="s">
        <v>750</v>
      </c>
      <c r="F5" s="87" t="s">
        <v>797</v>
      </c>
      <c r="G5" s="87" t="s">
        <v>798</v>
      </c>
      <c r="H5" s="87" t="s">
        <v>799</v>
      </c>
      <c r="I5" s="87" t="s">
        <v>757</v>
      </c>
      <c r="J5" s="87" t="s">
        <v>800</v>
      </c>
      <c r="K5" s="88" t="s">
        <v>801</v>
      </c>
      <c r="L5" s="87" t="s">
        <v>802</v>
      </c>
      <c r="M5" s="87" t="s">
        <v>803</v>
      </c>
      <c r="N5" s="87" t="s">
        <v>804</v>
      </c>
      <c r="O5" s="87" t="s">
        <v>749</v>
      </c>
      <c r="P5" s="87" t="s">
        <v>805</v>
      </c>
      <c r="Q5" s="87" t="s">
        <v>747</v>
      </c>
      <c r="R5" s="87" t="s">
        <v>806</v>
      </c>
      <c r="S5" s="87" t="s">
        <v>807</v>
      </c>
      <c r="T5" s="87" t="s">
        <v>808</v>
      </c>
      <c r="U5" s="87" t="s">
        <v>809</v>
      </c>
      <c r="V5" s="87" t="s">
        <v>743</v>
      </c>
      <c r="W5" s="87" t="s">
        <v>810</v>
      </c>
      <c r="X5" s="89" t="s">
        <v>738</v>
      </c>
      <c r="Y5" s="89" t="s">
        <v>811</v>
      </c>
      <c r="Z5" s="89" t="s">
        <v>812</v>
      </c>
      <c r="AA5" s="87" t="s">
        <v>813</v>
      </c>
      <c r="AB5" s="87" t="s">
        <v>814</v>
      </c>
      <c r="AC5" s="87" t="s">
        <v>815</v>
      </c>
      <c r="AD5" s="89" t="s">
        <v>816</v>
      </c>
      <c r="AE5" s="89" t="s">
        <v>817</v>
      </c>
      <c r="AF5" s="89" t="s">
        <v>818</v>
      </c>
      <c r="AG5" s="89" t="s">
        <v>819</v>
      </c>
      <c r="AH5" s="89" t="s">
        <v>820</v>
      </c>
      <c r="AI5" s="89" t="s">
        <v>821</v>
      </c>
      <c r="AJ5" s="87" t="s">
        <v>822</v>
      </c>
    </row>
    <row r="6" spans="1:36" x14ac:dyDescent="0.45">
      <c r="B6" s="85" t="s">
        <v>823</v>
      </c>
      <c r="C6" s="86"/>
      <c r="D6" s="90" t="s">
        <v>277</v>
      </c>
      <c r="E6" s="90" t="s">
        <v>824</v>
      </c>
      <c r="F6" s="90" t="s">
        <v>825</v>
      </c>
      <c r="G6" s="90" t="s">
        <v>751</v>
      </c>
      <c r="H6" s="90" t="s">
        <v>826</v>
      </c>
      <c r="I6" s="90" t="s">
        <v>826</v>
      </c>
      <c r="J6" s="90" t="s">
        <v>827</v>
      </c>
      <c r="K6" s="90" t="s">
        <v>827</v>
      </c>
      <c r="L6" s="90" t="s">
        <v>828</v>
      </c>
      <c r="M6" s="90" t="s">
        <v>829</v>
      </c>
      <c r="N6" s="90" t="s">
        <v>830</v>
      </c>
      <c r="O6" s="90" t="s">
        <v>749</v>
      </c>
      <c r="P6" s="90" t="s">
        <v>831</v>
      </c>
      <c r="Q6" s="90" t="s">
        <v>829</v>
      </c>
      <c r="R6" s="90" t="s">
        <v>829</v>
      </c>
      <c r="S6" s="90" t="s">
        <v>829</v>
      </c>
      <c r="T6" s="90" t="s">
        <v>829</v>
      </c>
      <c r="U6" s="90" t="s">
        <v>832</v>
      </c>
      <c r="V6" s="90" t="s">
        <v>830</v>
      </c>
      <c r="W6" s="90" t="s">
        <v>827</v>
      </c>
      <c r="X6" s="90" t="s">
        <v>738</v>
      </c>
      <c r="Y6" s="90" t="s">
        <v>830</v>
      </c>
      <c r="Z6" s="90" t="s">
        <v>830</v>
      </c>
      <c r="AA6" s="90" t="s">
        <v>830</v>
      </c>
      <c r="AB6" s="90" t="s">
        <v>832</v>
      </c>
      <c r="AC6" s="90" t="s">
        <v>827</v>
      </c>
      <c r="AD6" s="90" t="s">
        <v>827</v>
      </c>
      <c r="AE6" s="90" t="s">
        <v>832</v>
      </c>
      <c r="AF6" s="90" t="s">
        <v>828</v>
      </c>
      <c r="AG6" s="90" t="s">
        <v>828</v>
      </c>
      <c r="AH6" s="90" t="s">
        <v>830</v>
      </c>
      <c r="AI6" s="90" t="s">
        <v>828</v>
      </c>
      <c r="AJ6" s="90" t="s">
        <v>831</v>
      </c>
    </row>
    <row r="7" spans="1:36" ht="21" x14ac:dyDescent="0.45">
      <c r="B7" s="91" t="s">
        <v>833</v>
      </c>
      <c r="C7" s="92"/>
      <c r="D7" s="93" t="s">
        <v>834</v>
      </c>
      <c r="E7" s="93" t="s">
        <v>834</v>
      </c>
      <c r="F7" s="93" t="s">
        <v>835</v>
      </c>
      <c r="G7" s="93" t="s">
        <v>835</v>
      </c>
      <c r="H7" s="93" t="s">
        <v>836</v>
      </c>
      <c r="I7" s="93" t="s">
        <v>836</v>
      </c>
      <c r="J7" s="93" t="s">
        <v>837</v>
      </c>
      <c r="K7" s="93" t="s">
        <v>838</v>
      </c>
      <c r="L7" s="93" t="s">
        <v>839</v>
      </c>
      <c r="M7" s="93" t="s">
        <v>840</v>
      </c>
      <c r="N7" s="93" t="s">
        <v>838</v>
      </c>
      <c r="O7" s="93" t="s">
        <v>839</v>
      </c>
      <c r="P7" s="93" t="s">
        <v>841</v>
      </c>
      <c r="Q7" s="93" t="s">
        <v>840</v>
      </c>
      <c r="R7" s="93" t="s">
        <v>840</v>
      </c>
      <c r="S7" s="93" t="s">
        <v>840</v>
      </c>
      <c r="T7" s="93" t="s">
        <v>840</v>
      </c>
      <c r="U7" s="93" t="s">
        <v>842</v>
      </c>
      <c r="V7" s="93" t="s">
        <v>843</v>
      </c>
      <c r="W7" s="93" t="s">
        <v>844</v>
      </c>
      <c r="X7" s="93" t="s">
        <v>845</v>
      </c>
      <c r="Y7" s="93" t="s">
        <v>845</v>
      </c>
      <c r="Z7" s="93" t="s">
        <v>846</v>
      </c>
      <c r="AA7" s="93" t="s">
        <v>845</v>
      </c>
      <c r="AB7" s="93" t="s">
        <v>845</v>
      </c>
      <c r="AC7" s="93" t="s">
        <v>847</v>
      </c>
      <c r="AD7" s="93" t="s">
        <v>842</v>
      </c>
      <c r="AE7" s="93" t="s">
        <v>848</v>
      </c>
      <c r="AF7" s="93" t="s">
        <v>848</v>
      </c>
      <c r="AG7" s="93" t="s">
        <v>849</v>
      </c>
      <c r="AH7" s="93" t="s">
        <v>848</v>
      </c>
      <c r="AI7" s="93" t="s">
        <v>850</v>
      </c>
      <c r="AJ7" s="93" t="s">
        <v>848</v>
      </c>
    </row>
    <row r="8" spans="1:36" ht="21" x14ac:dyDescent="0.45">
      <c r="B8" s="94" t="s">
        <v>851</v>
      </c>
      <c r="C8" s="95"/>
      <c r="D8" s="96" t="s">
        <v>739</v>
      </c>
      <c r="E8" s="96" t="s">
        <v>739</v>
      </c>
      <c r="F8" s="96" t="s">
        <v>739</v>
      </c>
      <c r="G8" s="96" t="s">
        <v>739</v>
      </c>
      <c r="H8" s="96" t="s">
        <v>755</v>
      </c>
      <c r="I8" s="96" t="s">
        <v>755</v>
      </c>
      <c r="J8" s="96" t="s">
        <v>739</v>
      </c>
      <c r="K8" s="96" t="s">
        <v>739</v>
      </c>
      <c r="L8" s="96" t="s">
        <v>739</v>
      </c>
      <c r="M8" s="96" t="s">
        <v>753</v>
      </c>
      <c r="N8" s="96" t="s">
        <v>739</v>
      </c>
      <c r="O8" s="96" t="s">
        <v>739</v>
      </c>
      <c r="P8" s="96" t="s">
        <v>755</v>
      </c>
      <c r="Q8" s="96" t="s">
        <v>753</v>
      </c>
      <c r="R8" s="96" t="s">
        <v>754</v>
      </c>
      <c r="S8" s="96" t="s">
        <v>754</v>
      </c>
      <c r="T8" s="96" t="s">
        <v>753</v>
      </c>
      <c r="U8" s="96" t="s">
        <v>739</v>
      </c>
      <c r="V8" s="96" t="s">
        <v>739</v>
      </c>
      <c r="W8" s="96" t="s">
        <v>739</v>
      </c>
      <c r="X8" s="96" t="s">
        <v>739</v>
      </c>
      <c r="Y8" s="96" t="s">
        <v>739</v>
      </c>
      <c r="Z8" s="96" t="s">
        <v>739</v>
      </c>
      <c r="AA8" s="96" t="s">
        <v>739</v>
      </c>
      <c r="AB8" s="96" t="s">
        <v>739</v>
      </c>
      <c r="AC8" s="96" t="s">
        <v>739</v>
      </c>
      <c r="AD8" s="96" t="s">
        <v>739</v>
      </c>
      <c r="AE8" s="96" t="s">
        <v>739</v>
      </c>
      <c r="AF8" s="96" t="s">
        <v>739</v>
      </c>
      <c r="AG8" s="96" t="s">
        <v>739</v>
      </c>
      <c r="AH8" s="96" t="s">
        <v>739</v>
      </c>
      <c r="AI8" s="96" t="s">
        <v>739</v>
      </c>
      <c r="AJ8" s="96" t="s">
        <v>739</v>
      </c>
    </row>
    <row r="9" spans="1:36" ht="21" x14ac:dyDescent="0.45">
      <c r="B9" s="97" t="s">
        <v>852</v>
      </c>
      <c r="C9" s="98"/>
      <c r="D9" s="99" t="s">
        <v>277</v>
      </c>
      <c r="E9" s="99" t="s">
        <v>750</v>
      </c>
      <c r="F9" s="99" t="s">
        <v>752</v>
      </c>
      <c r="G9" s="99" t="s">
        <v>751</v>
      </c>
      <c r="H9" s="99" t="s">
        <v>745</v>
      </c>
      <c r="I9" s="99" t="s">
        <v>757</v>
      </c>
      <c r="J9" s="99" t="s">
        <v>740</v>
      </c>
      <c r="K9" s="99" t="s">
        <v>741</v>
      </c>
      <c r="L9" s="99" t="s">
        <v>746</v>
      </c>
      <c r="M9" s="99" t="s">
        <v>746</v>
      </c>
      <c r="N9" s="99" t="s">
        <v>277</v>
      </c>
      <c r="O9" s="99" t="s">
        <v>749</v>
      </c>
      <c r="P9" s="99" t="s">
        <v>745</v>
      </c>
      <c r="Q9" s="99" t="s">
        <v>747</v>
      </c>
      <c r="R9" s="99" t="s">
        <v>748</v>
      </c>
      <c r="S9" s="99" t="s">
        <v>748</v>
      </c>
      <c r="T9" s="99" t="s">
        <v>739</v>
      </c>
      <c r="U9" s="99" t="s">
        <v>752</v>
      </c>
      <c r="V9" s="99" t="s">
        <v>743</v>
      </c>
      <c r="W9" s="99" t="s">
        <v>740</v>
      </c>
      <c r="X9" s="99" t="s">
        <v>738</v>
      </c>
      <c r="Y9" s="99" t="s">
        <v>743</v>
      </c>
      <c r="Z9" s="99" t="s">
        <v>743</v>
      </c>
      <c r="AA9" s="99" t="s">
        <v>738</v>
      </c>
      <c r="AB9" s="99" t="s">
        <v>277</v>
      </c>
      <c r="AC9" s="99" t="s">
        <v>742</v>
      </c>
      <c r="AD9" s="99" t="s">
        <v>742</v>
      </c>
      <c r="AE9" s="99" t="s">
        <v>277</v>
      </c>
      <c r="AF9" s="99" t="s">
        <v>746</v>
      </c>
      <c r="AG9" s="99" t="s">
        <v>755</v>
      </c>
      <c r="AH9" s="99" t="s">
        <v>744</v>
      </c>
      <c r="AI9" s="99" t="s">
        <v>746</v>
      </c>
      <c r="AJ9" s="99" t="s">
        <v>739</v>
      </c>
    </row>
    <row r="10" spans="1:36" ht="31.5" x14ac:dyDescent="0.45">
      <c r="B10" s="94" t="s">
        <v>853</v>
      </c>
      <c r="C10" s="95"/>
      <c r="D10" s="96" t="s">
        <v>854</v>
      </c>
      <c r="E10" s="96" t="s">
        <v>855</v>
      </c>
      <c r="F10" s="96" t="s">
        <v>856</v>
      </c>
      <c r="G10" s="96" t="s">
        <v>857</v>
      </c>
      <c r="H10" s="96" t="s">
        <v>858</v>
      </c>
      <c r="I10" s="96" t="s">
        <v>858</v>
      </c>
      <c r="J10" s="96" t="s">
        <v>859</v>
      </c>
      <c r="K10" s="96" t="s">
        <v>860</v>
      </c>
      <c r="L10" s="96" t="s">
        <v>861</v>
      </c>
      <c r="M10" s="96" t="s">
        <v>862</v>
      </c>
      <c r="N10" s="96" t="s">
        <v>863</v>
      </c>
      <c r="O10" s="96" t="s">
        <v>864</v>
      </c>
      <c r="P10" s="96" t="s">
        <v>865</v>
      </c>
      <c r="Q10" s="96" t="s">
        <v>862</v>
      </c>
      <c r="R10" s="96" t="s">
        <v>866</v>
      </c>
      <c r="S10" s="96" t="s">
        <v>866</v>
      </c>
      <c r="T10" s="96" t="s">
        <v>862</v>
      </c>
      <c r="U10" s="96" t="s">
        <v>867</v>
      </c>
      <c r="V10" s="96" t="s">
        <v>868</v>
      </c>
      <c r="W10" s="96" t="s">
        <v>869</v>
      </c>
      <c r="X10" s="96" t="s">
        <v>870</v>
      </c>
      <c r="Y10" s="96" t="s">
        <v>871</v>
      </c>
      <c r="Z10" s="96" t="s">
        <v>872</v>
      </c>
      <c r="AA10" s="100" t="s">
        <v>873</v>
      </c>
      <c r="AB10" s="100" t="s">
        <v>874</v>
      </c>
      <c r="AC10" s="100" t="s">
        <v>875</v>
      </c>
      <c r="AD10" s="96" t="s">
        <v>876</v>
      </c>
      <c r="AE10" s="96" t="s">
        <v>877</v>
      </c>
      <c r="AF10" s="96" t="s">
        <v>878</v>
      </c>
      <c r="AG10" s="96" t="s">
        <v>879</v>
      </c>
      <c r="AH10" s="96" t="s">
        <v>880</v>
      </c>
      <c r="AI10" s="96" t="s">
        <v>881</v>
      </c>
      <c r="AJ10" s="96"/>
    </row>
    <row r="11" spans="1:36" ht="31.5" x14ac:dyDescent="0.45">
      <c r="B11" s="97" t="s">
        <v>882</v>
      </c>
      <c r="C11" s="98"/>
      <c r="D11" s="99"/>
      <c r="E11" s="99"/>
      <c r="F11" s="99"/>
      <c r="G11" s="99"/>
      <c r="H11" s="99" t="s">
        <v>883</v>
      </c>
      <c r="I11" s="99" t="s">
        <v>884</v>
      </c>
      <c r="J11" s="99"/>
      <c r="K11" s="99"/>
      <c r="L11" s="99"/>
      <c r="M11" s="96" t="s">
        <v>885</v>
      </c>
      <c r="N11" s="99"/>
      <c r="O11" s="99"/>
      <c r="P11" s="99" t="s">
        <v>883</v>
      </c>
      <c r="Q11" s="99" t="s">
        <v>886</v>
      </c>
      <c r="R11" s="99" t="s">
        <v>887</v>
      </c>
      <c r="S11" s="99" t="s">
        <v>888</v>
      </c>
      <c r="T11" s="99" t="s">
        <v>889</v>
      </c>
      <c r="U11" s="99"/>
      <c r="V11" s="99"/>
      <c r="W11" s="99"/>
      <c r="X11" s="99"/>
      <c r="Y11" s="99"/>
      <c r="Z11" s="101"/>
      <c r="AA11" s="99" t="s">
        <v>244</v>
      </c>
      <c r="AB11" s="99" t="s">
        <v>244</v>
      </c>
      <c r="AC11" s="99" t="s">
        <v>244</v>
      </c>
      <c r="AD11" s="99"/>
      <c r="AE11" s="99"/>
      <c r="AF11" s="99"/>
      <c r="AG11" s="101" t="s">
        <v>883</v>
      </c>
      <c r="AH11" s="101"/>
      <c r="AI11" s="101"/>
      <c r="AJ11" s="99" t="s">
        <v>890</v>
      </c>
    </row>
    <row r="12" spans="1:36" x14ac:dyDescent="0.45">
      <c r="B12" s="102" t="s">
        <v>891</v>
      </c>
      <c r="C12" s="103"/>
      <c r="D12" s="104"/>
      <c r="E12" s="104"/>
      <c r="F12" s="104"/>
      <c r="G12" s="104"/>
      <c r="H12" s="104"/>
      <c r="I12" s="104"/>
      <c r="J12" s="104"/>
      <c r="K12" s="104"/>
      <c r="L12" s="104"/>
      <c r="M12" s="104"/>
      <c r="N12" s="104"/>
      <c r="O12" s="104"/>
      <c r="P12" s="104"/>
      <c r="Q12" s="104">
        <v>10.396734284077894</v>
      </c>
      <c r="R12" s="104">
        <v>10.396734284077894</v>
      </c>
      <c r="S12" s="104">
        <v>10.396734284077894</v>
      </c>
      <c r="T12" s="104">
        <v>10.396734284077894</v>
      </c>
      <c r="U12" s="104"/>
      <c r="V12" s="104"/>
      <c r="W12" s="104"/>
      <c r="X12" s="104"/>
      <c r="Y12" s="104"/>
      <c r="Z12" s="104"/>
      <c r="AA12" s="104"/>
      <c r="AB12" s="104"/>
      <c r="AC12" s="104"/>
      <c r="AD12" s="104"/>
      <c r="AE12" s="104"/>
      <c r="AF12" s="104"/>
      <c r="AG12" s="104"/>
      <c r="AH12" s="104"/>
      <c r="AI12" s="104"/>
      <c r="AJ12" s="104"/>
    </row>
    <row r="13" spans="1:36" x14ac:dyDescent="0.45">
      <c r="B13" s="105" t="s">
        <v>729</v>
      </c>
      <c r="C13" s="86" t="s">
        <v>892</v>
      </c>
      <c r="D13" s="106">
        <v>12.697682912271237</v>
      </c>
      <c r="E13" s="106">
        <v>9.4212973210335029</v>
      </c>
      <c r="F13" s="106">
        <v>0.24644903083032546</v>
      </c>
      <c r="G13" s="106">
        <v>3.4387955660133458</v>
      </c>
      <c r="H13" s="106">
        <v>13</v>
      </c>
      <c r="I13" s="106">
        <v>13</v>
      </c>
      <c r="J13" s="106">
        <v>17.78801152376975</v>
      </c>
      <c r="K13" s="106">
        <v>11.332932171095097</v>
      </c>
      <c r="L13" s="106">
        <v>8.4365696349110877</v>
      </c>
      <c r="M13" s="106">
        <v>0.22975436499999996</v>
      </c>
      <c r="N13" s="106">
        <v>6.0526160561234752</v>
      </c>
      <c r="O13" s="106">
        <v>8.3277115388960326</v>
      </c>
      <c r="P13" s="106">
        <v>-24.361601871154509</v>
      </c>
      <c r="Q13" s="106">
        <v>0.22975436499999996</v>
      </c>
      <c r="R13" s="106">
        <v>0.22975436499999996</v>
      </c>
      <c r="S13" s="106">
        <v>0.22975436499999996</v>
      </c>
      <c r="T13" s="106">
        <v>0.22975436499999996</v>
      </c>
      <c r="U13" s="106">
        <v>1.3250865554924278</v>
      </c>
      <c r="V13" s="106">
        <v>60.139818703961303</v>
      </c>
      <c r="W13" s="106">
        <v>14.947698984513721</v>
      </c>
      <c r="X13" s="106">
        <v>99.518762618832667</v>
      </c>
      <c r="Y13" s="106">
        <v>104.5945768734088</v>
      </c>
      <c r="Z13" s="106">
        <v>6.1904541460951199</v>
      </c>
      <c r="AA13" s="106">
        <v>95.391607266972585</v>
      </c>
      <c r="AB13" s="106">
        <v>89.868485852534562</v>
      </c>
      <c r="AC13" s="106">
        <v>28.21875130970724</v>
      </c>
      <c r="AD13" s="106">
        <v>11.025200202839756</v>
      </c>
      <c r="AE13" s="106">
        <v>8.9561718837863165</v>
      </c>
      <c r="AF13" s="106">
        <v>9.2800885868342551</v>
      </c>
      <c r="AG13" s="106">
        <v>-0.26899411863487321</v>
      </c>
      <c r="AH13" s="106">
        <v>8.8451921065073549</v>
      </c>
      <c r="AI13" s="106">
        <v>0.22975436499999996</v>
      </c>
      <c r="AJ13" s="106">
        <v>9</v>
      </c>
    </row>
    <row r="14" spans="1:36" x14ac:dyDescent="0.45">
      <c r="B14" s="107" t="s">
        <v>730</v>
      </c>
      <c r="C14" s="103" t="s">
        <v>892</v>
      </c>
      <c r="D14" s="108">
        <v>2.2780876234578902E-5</v>
      </c>
      <c r="E14" s="108">
        <v>1.7027574233738588E-5</v>
      </c>
      <c r="F14" s="108">
        <v>4.3792806235752331E-7</v>
      </c>
      <c r="G14" s="108">
        <v>6.412213465713091E-6</v>
      </c>
      <c r="H14" s="108">
        <v>0</v>
      </c>
      <c r="I14" s="108">
        <v>0</v>
      </c>
      <c r="J14" s="108">
        <v>8.4516506823096104E-6</v>
      </c>
      <c r="K14" s="108">
        <v>-8.8554455445544559E-6</v>
      </c>
      <c r="L14" s="108">
        <v>-1.165841584158416E-5</v>
      </c>
      <c r="M14" s="108">
        <v>0</v>
      </c>
      <c r="N14" s="108">
        <v>-1.1581323732373238E-5</v>
      </c>
      <c r="O14" s="108">
        <v>-1.3910891089108914E-5</v>
      </c>
      <c r="P14" s="108">
        <v>0.11825943450381543</v>
      </c>
      <c r="Q14" s="108">
        <v>0</v>
      </c>
      <c r="R14" s="108">
        <v>0</v>
      </c>
      <c r="S14" s="108">
        <v>0</v>
      </c>
      <c r="T14" s="108">
        <v>0</v>
      </c>
      <c r="U14" s="108">
        <v>-8.2790621919334826E-6</v>
      </c>
      <c r="V14" s="108">
        <v>1.9471394696696679E-6</v>
      </c>
      <c r="W14" s="108">
        <v>-3.0230623062306261E-7</v>
      </c>
      <c r="X14" s="108">
        <v>-7.1463280943478954E-7</v>
      </c>
      <c r="Y14" s="108">
        <v>2.598716577540107E-5</v>
      </c>
      <c r="Z14" s="108">
        <v>4.3289708404802746E-5</v>
      </c>
      <c r="AA14" s="108">
        <v>8.8314448836187975E-6</v>
      </c>
      <c r="AB14" s="108">
        <v>9.1887096774193551E-6</v>
      </c>
      <c r="AC14" s="108">
        <v>1.7728916281458654E-4</v>
      </c>
      <c r="AD14" s="108">
        <v>0</v>
      </c>
      <c r="AE14" s="108">
        <v>-1.3064667291471413E-6</v>
      </c>
      <c r="AF14" s="108">
        <v>1.0552392511978469E-5</v>
      </c>
      <c r="AG14" s="108">
        <v>-4.8819952583493651E-6</v>
      </c>
      <c r="AH14" s="108">
        <v>-3.2032615026208512E-6</v>
      </c>
      <c r="AI14" s="108">
        <v>0</v>
      </c>
      <c r="AJ14" s="108">
        <v>0</v>
      </c>
    </row>
    <row r="15" spans="1:36" x14ac:dyDescent="0.45">
      <c r="B15" s="107" t="s">
        <v>731</v>
      </c>
      <c r="C15" s="103" t="s">
        <v>892</v>
      </c>
      <c r="D15" s="108">
        <v>2.2608175328488054E-5</v>
      </c>
      <c r="E15" s="108">
        <v>1.6853433689794315E-5</v>
      </c>
      <c r="F15" s="108">
        <v>4.361329747380185E-7</v>
      </c>
      <c r="G15" s="108">
        <v>6.2760269461171267E-6</v>
      </c>
      <c r="H15" s="108">
        <v>0</v>
      </c>
      <c r="I15" s="108">
        <v>0</v>
      </c>
      <c r="J15" s="108">
        <v>7.521974611254229E-6</v>
      </c>
      <c r="K15" s="108">
        <v>-8.8554455445544559E-6</v>
      </c>
      <c r="L15" s="108">
        <v>-1.165841584158416E-5</v>
      </c>
      <c r="M15" s="108">
        <v>0</v>
      </c>
      <c r="N15" s="108">
        <v>-9.7027782778277837E-6</v>
      </c>
      <c r="O15" s="108">
        <v>-1.3910891089108914E-5</v>
      </c>
      <c r="P15" s="108">
        <v>9.4726936693669353E-6</v>
      </c>
      <c r="Q15" s="108">
        <v>0</v>
      </c>
      <c r="R15" s="108">
        <v>0</v>
      </c>
      <c r="S15" s="108">
        <v>0</v>
      </c>
      <c r="T15" s="108">
        <v>0</v>
      </c>
      <c r="U15" s="108">
        <v>-7.7820924949637868E-6</v>
      </c>
      <c r="V15" s="108">
        <v>1.4586809252815047E-6</v>
      </c>
      <c r="W15" s="108">
        <v>-7.9513451345134538E-7</v>
      </c>
      <c r="X15" s="108">
        <v>-5.6410833391031412E-7</v>
      </c>
      <c r="Y15" s="108">
        <v>2.5782531194295901E-5</v>
      </c>
      <c r="Z15" s="108">
        <v>4.2945111492281298E-5</v>
      </c>
      <c r="AA15" s="108">
        <v>8.3776899429073336E-6</v>
      </c>
      <c r="AB15" s="108">
        <v>8.7258064516129022E-6</v>
      </c>
      <c r="AC15" s="108">
        <v>1.7640472521828455E-4</v>
      </c>
      <c r="AD15" s="108">
        <v>0</v>
      </c>
      <c r="AE15" s="108">
        <v>-7.6850984067478905E-7</v>
      </c>
      <c r="AF15" s="108">
        <v>4.1482602805735113E-6</v>
      </c>
      <c r="AG15" s="108">
        <v>-5.8028508733226272E-6</v>
      </c>
      <c r="AH15" s="108">
        <v>-3.2032615026208512E-6</v>
      </c>
      <c r="AI15" s="108">
        <v>0</v>
      </c>
      <c r="AJ15" s="108">
        <v>0</v>
      </c>
    </row>
    <row r="16" spans="1:36" x14ac:dyDescent="0.45">
      <c r="B16" s="107" t="s">
        <v>732</v>
      </c>
      <c r="C16" s="103" t="s">
        <v>892</v>
      </c>
      <c r="D16" s="108">
        <v>6.2447352165324375E-5</v>
      </c>
      <c r="E16" s="108">
        <v>4.6403500073920339E-5</v>
      </c>
      <c r="F16" s="108">
        <v>1.2096887528584424E-6</v>
      </c>
      <c r="G16" s="108">
        <v>1.7047030287193673E-5</v>
      </c>
      <c r="H16" s="108">
        <v>7.3100000000000001E-5</v>
      </c>
      <c r="I16" s="108">
        <v>7.3100000000000001E-5</v>
      </c>
      <c r="J16" s="108">
        <v>7.203806157198013E-5</v>
      </c>
      <c r="K16" s="108">
        <v>-8.4543366336633656E-6</v>
      </c>
      <c r="L16" s="108">
        <v>-1.5805068420274873E-5</v>
      </c>
      <c r="M16" s="108">
        <v>2.6861111111111108E-5</v>
      </c>
      <c r="N16" s="108">
        <v>-4.0993893789379021E-6</v>
      </c>
      <c r="O16" s="108">
        <v>-2.2562494162849135E-5</v>
      </c>
      <c r="P16" s="108">
        <v>1.2555106462646266E-5</v>
      </c>
      <c r="Q16" s="108">
        <v>2.6861111111111108E-5</v>
      </c>
      <c r="R16" s="108">
        <v>2.6861111111111108E-5</v>
      </c>
      <c r="S16" s="108">
        <v>2.6861111111111108E-5</v>
      </c>
      <c r="T16" s="108">
        <v>2.6861111111111108E-5</v>
      </c>
      <c r="U16" s="108">
        <v>-3.4096887403026177E-6</v>
      </c>
      <c r="V16" s="108">
        <v>1.1796841974314686E-4</v>
      </c>
      <c r="W16" s="108">
        <v>4.3123707856540107E-5</v>
      </c>
      <c r="X16" s="108">
        <v>-1.1396851415910819E-6</v>
      </c>
      <c r="Y16" s="108">
        <v>1.1086488413547237E-5</v>
      </c>
      <c r="Z16" s="108">
        <v>1.8466397941680963E-5</v>
      </c>
      <c r="AA16" s="108">
        <v>3.6024066754501542E-6</v>
      </c>
      <c r="AB16" s="108">
        <v>3.7520967741935483E-6</v>
      </c>
      <c r="AC16" s="108">
        <v>1.2873940887152599E-4</v>
      </c>
      <c r="AD16" s="108">
        <v>1.8111999999999995E-5</v>
      </c>
      <c r="AE16" s="108">
        <v>1.883971987298745E-5</v>
      </c>
      <c r="AF16" s="108">
        <v>8.1026458966113687E-6</v>
      </c>
      <c r="AG16" s="108">
        <v>-2.0789408234941142E-5</v>
      </c>
      <c r="AH16" s="108">
        <v>9.5603945966150572E-6</v>
      </c>
      <c r="AI16" s="108">
        <v>2.6861111111111108E-5</v>
      </c>
      <c r="AJ16" s="108">
        <v>1.9170179104477608E-5</v>
      </c>
    </row>
    <row r="17" spans="1:36" x14ac:dyDescent="0.45">
      <c r="B17" s="107" t="s">
        <v>733</v>
      </c>
      <c r="C17" s="103" t="s">
        <v>892</v>
      </c>
      <c r="D17" s="108">
        <v>7.3456896363836982E-2</v>
      </c>
      <c r="E17" s="108">
        <v>5.4490081390606473E-2</v>
      </c>
      <c r="F17" s="108">
        <v>1.4261535971563735E-3</v>
      </c>
      <c r="G17" s="108">
        <v>1.9868929200402563E-2</v>
      </c>
      <c r="H17" s="108">
        <v>9.3499999999999989E-3</v>
      </c>
      <c r="I17" s="108">
        <v>9.3499999999999989E-3</v>
      </c>
      <c r="J17" s="108">
        <v>7.7266630586777643E-2</v>
      </c>
      <c r="K17" s="108">
        <v>2.0402989750495044E-2</v>
      </c>
      <c r="L17" s="108">
        <v>2.0337939209516771E-2</v>
      </c>
      <c r="M17" s="108">
        <v>3.7481994444444444E-2</v>
      </c>
      <c r="N17" s="108">
        <v>2.1284142201740169E-2</v>
      </c>
      <c r="O17" s="108">
        <v>1.9099077823378156E-2</v>
      </c>
      <c r="P17" s="108">
        <v>2.11145497269727E-3</v>
      </c>
      <c r="Q17" s="108">
        <v>3.7481994444444444E-2</v>
      </c>
      <c r="R17" s="108">
        <v>3.7481994444444444E-2</v>
      </c>
      <c r="S17" s="108">
        <v>3.7481994444444444E-2</v>
      </c>
      <c r="T17" s="108">
        <v>3.7481994444444444E-2</v>
      </c>
      <c r="U17" s="108">
        <v>2.1349732196168182E-2</v>
      </c>
      <c r="V17" s="108">
        <v>0.16146121032409852</v>
      </c>
      <c r="W17" s="108">
        <v>6.5237475986080373E-2</v>
      </c>
      <c r="X17" s="108">
        <v>-2.0231203120312028E-4</v>
      </c>
      <c r="Y17" s="108">
        <v>1.084620320855615E-3</v>
      </c>
      <c r="Z17" s="108">
        <v>1.8066483704974269E-3</v>
      </c>
      <c r="AA17" s="108">
        <v>3.5575230566534913E-4</v>
      </c>
      <c r="AB17" s="108">
        <v>3.7045161290322578E-4</v>
      </c>
      <c r="AC17" s="108">
        <v>8.1212834457252359E-2</v>
      </c>
      <c r="AD17" s="108">
        <v>2.5273484799999996E-2</v>
      </c>
      <c r="AE17" s="108">
        <v>2.6713179450035669E-2</v>
      </c>
      <c r="AF17" s="108">
        <v>2.4438933390753075E-2</v>
      </c>
      <c r="AG17" s="108">
        <v>-3.8519530070654125E-3</v>
      </c>
      <c r="AH17" s="108">
        <v>2.4988274095946589E-2</v>
      </c>
      <c r="AI17" s="108">
        <v>3.7481994444444444E-2</v>
      </c>
      <c r="AJ17" s="108">
        <v>2.6750067922388057E-2</v>
      </c>
    </row>
    <row r="18" spans="1:36" x14ac:dyDescent="0.45">
      <c r="B18" s="109" t="s">
        <v>734</v>
      </c>
      <c r="C18" s="98" t="s">
        <v>892</v>
      </c>
      <c r="D18" s="110">
        <v>2.3215388535320099E-6</v>
      </c>
      <c r="E18" s="110">
        <v>1.7465708636818927E-6</v>
      </c>
      <c r="F18" s="110">
        <v>4.4244446976521103E-8</v>
      </c>
      <c r="G18" s="110">
        <v>6.754856242169915E-7</v>
      </c>
      <c r="H18" s="110">
        <v>0</v>
      </c>
      <c r="I18" s="110">
        <v>0</v>
      </c>
      <c r="J18" s="110">
        <v>6.2615994806377194E-6</v>
      </c>
      <c r="K18" s="110">
        <v>-8.8554455445544559E-6</v>
      </c>
      <c r="L18" s="110">
        <v>-1.165841584158416E-5</v>
      </c>
      <c r="M18" s="110">
        <v>0</v>
      </c>
      <c r="N18" s="110">
        <v>-7.156007368736874E-6</v>
      </c>
      <c r="O18" s="110">
        <v>-1.3910891089108914E-5</v>
      </c>
      <c r="P18" s="110">
        <v>3.6151205784578461E-6</v>
      </c>
      <c r="Q18" s="110">
        <v>0</v>
      </c>
      <c r="R18" s="110">
        <v>0</v>
      </c>
      <c r="S18" s="110">
        <v>0</v>
      </c>
      <c r="T18" s="110">
        <v>0</v>
      </c>
      <c r="U18" s="110">
        <v>-7.1083435772148687E-6</v>
      </c>
      <c r="V18" s="110">
        <v>7.9647069867526623E-7</v>
      </c>
      <c r="W18" s="110">
        <v>-1.4632688568856887E-6</v>
      </c>
      <c r="X18" s="110">
        <v>-3.6004015209213226E-7</v>
      </c>
      <c r="Y18" s="110">
        <v>2.5639286987522286E-6</v>
      </c>
      <c r="Z18" s="110">
        <v>4.2703893653516297E-6</v>
      </c>
      <c r="AA18" s="110">
        <v>8.0600614844093111E-7</v>
      </c>
      <c r="AB18" s="110">
        <v>8.4017741935483868E-7</v>
      </c>
      <c r="AC18" s="110">
        <v>1.7578561890087311E-5</v>
      </c>
      <c r="AD18" s="110">
        <v>0</v>
      </c>
      <c r="AE18" s="110">
        <v>-3.9194001874414244E-8</v>
      </c>
      <c r="AF18" s="110">
        <v>-4.5339132731454958E-6</v>
      </c>
      <c r="AG18" s="110">
        <v>-7.0512679856220923E-6</v>
      </c>
      <c r="AH18" s="110">
        <v>-3.2032615026208512E-6</v>
      </c>
      <c r="AI18" s="110">
        <v>0</v>
      </c>
      <c r="AJ18" s="110">
        <v>0</v>
      </c>
    </row>
    <row r="19" spans="1:36" x14ac:dyDescent="0.45">
      <c r="B19" s="84"/>
      <c r="C19" s="83"/>
      <c r="D19" s="111"/>
      <c r="E19" s="111"/>
      <c r="F19" s="111"/>
      <c r="G19" s="111"/>
      <c r="H19" s="111"/>
      <c r="I19" s="111"/>
      <c r="J19" s="111"/>
      <c r="K19" s="111"/>
      <c r="L19" s="111"/>
      <c r="M19" s="111"/>
      <c r="N19" s="111"/>
      <c r="O19" s="111"/>
      <c r="P19" s="111"/>
      <c r="Q19" s="111"/>
      <c r="R19" s="111"/>
      <c r="S19" s="111"/>
      <c r="T19" s="111"/>
      <c r="U19" s="111"/>
      <c r="V19" s="111"/>
      <c r="W19" s="111"/>
      <c r="X19" s="111"/>
      <c r="Y19" s="111"/>
      <c r="Z19" s="111"/>
      <c r="AA19" s="111"/>
      <c r="AB19" s="111"/>
      <c r="AC19" s="111"/>
      <c r="AD19" s="111"/>
      <c r="AE19" s="111"/>
      <c r="AF19" s="111"/>
      <c r="AG19" s="111"/>
      <c r="AH19" s="111"/>
      <c r="AI19" s="111"/>
      <c r="AJ19" s="111"/>
    </row>
    <row r="20" spans="1:36" x14ac:dyDescent="0.45">
      <c r="B20" s="102" t="s">
        <v>891</v>
      </c>
      <c r="C20" s="103"/>
      <c r="D20" s="112"/>
      <c r="E20" s="112"/>
      <c r="F20" s="112"/>
      <c r="G20" s="112"/>
      <c r="H20" s="112"/>
      <c r="I20" s="112"/>
      <c r="J20" s="112"/>
      <c r="K20" s="112"/>
      <c r="L20" s="112"/>
      <c r="M20" s="112"/>
      <c r="N20" s="112"/>
      <c r="O20" s="112"/>
      <c r="P20" s="112"/>
      <c r="Q20" s="112">
        <v>21.148533132820134</v>
      </c>
      <c r="R20" s="112">
        <v>21.148533132820134</v>
      </c>
      <c r="S20" s="112">
        <v>21.148533132820134</v>
      </c>
      <c r="T20" s="112">
        <v>21.148533132820134</v>
      </c>
      <c r="U20" s="112"/>
      <c r="V20" s="112"/>
      <c r="W20" s="112"/>
      <c r="X20" s="112"/>
      <c r="Y20" s="112"/>
      <c r="Z20" s="112"/>
      <c r="AA20" s="112"/>
      <c r="AB20" s="112"/>
      <c r="AC20" s="112"/>
      <c r="AD20" s="112"/>
      <c r="AE20" s="112"/>
      <c r="AF20" s="112"/>
      <c r="AG20" s="112"/>
      <c r="AH20" s="112"/>
      <c r="AI20" s="112"/>
      <c r="AJ20" s="112"/>
    </row>
    <row r="21" spans="1:36" x14ac:dyDescent="0.45">
      <c r="B21" s="105" t="s">
        <v>729</v>
      </c>
      <c r="C21" s="86" t="s">
        <v>893</v>
      </c>
      <c r="D21" s="106">
        <v>27.013458343538307</v>
      </c>
      <c r="E21" s="106">
        <v>27.252516299067707</v>
      </c>
      <c r="F21" s="106">
        <v>26.207577742934397</v>
      </c>
      <c r="G21" s="106">
        <v>21.359871090148982</v>
      </c>
      <c r="H21" s="106">
        <v>13</v>
      </c>
      <c r="I21" s="106">
        <v>13</v>
      </c>
      <c r="J21" s="106">
        <v>30.951140051359367</v>
      </c>
      <c r="K21" s="106">
        <v>27.19903721062823</v>
      </c>
      <c r="L21" s="106">
        <v>18.514402052509023</v>
      </c>
      <c r="M21" s="106">
        <v>0.23165777564751072</v>
      </c>
      <c r="N21" s="106">
        <v>17.353305540260113</v>
      </c>
      <c r="O21" s="106">
        <v>19.013040043141626</v>
      </c>
      <c r="P21" s="106">
        <v>-34.343356561249166</v>
      </c>
      <c r="Q21" s="106">
        <v>0.23165777564751072</v>
      </c>
      <c r="R21" s="106">
        <v>0.23165777564751072</v>
      </c>
      <c r="S21" s="106">
        <v>0.23165777564751072</v>
      </c>
      <c r="T21" s="106">
        <v>0.23165777564751072</v>
      </c>
      <c r="U21" s="106">
        <v>5.5653635330681981</v>
      </c>
      <c r="V21" s="106">
        <v>93.216718991140027</v>
      </c>
      <c r="W21" s="106">
        <v>26.905858172124695</v>
      </c>
      <c r="X21" s="106">
        <v>103.49951312358598</v>
      </c>
      <c r="Y21" s="106">
        <v>106.68646841087698</v>
      </c>
      <c r="Z21" s="106">
        <v>6.5618813948608281</v>
      </c>
      <c r="AA21" s="106">
        <v>98.730313521316617</v>
      </c>
      <c r="AB21" s="106">
        <v>111.43692245714284</v>
      </c>
      <c r="AC21" s="106">
        <v>49.947189818181812</v>
      </c>
      <c r="AD21" s="106">
        <v>37.485680689655169</v>
      </c>
      <c r="AE21" s="106">
        <v>26.868515651358951</v>
      </c>
      <c r="AF21" s="106">
        <v>20.41619489103536</v>
      </c>
      <c r="AG21" s="106">
        <v>-0.47305862242684593</v>
      </c>
      <c r="AH21" s="106">
        <v>10.614230527808825</v>
      </c>
      <c r="AI21" s="106">
        <v>0.39058242049999992</v>
      </c>
      <c r="AJ21" s="106">
        <v>9</v>
      </c>
    </row>
    <row r="22" spans="1:36" x14ac:dyDescent="0.45">
      <c r="B22" s="107" t="s">
        <v>730</v>
      </c>
      <c r="C22" s="103" t="s">
        <v>893</v>
      </c>
      <c r="D22" s="108">
        <v>4.8464767583491656E-5</v>
      </c>
      <c r="E22" s="108">
        <v>4.9254813697742554E-5</v>
      </c>
      <c r="F22" s="108">
        <v>4.6569603870542669E-5</v>
      </c>
      <c r="G22" s="108">
        <v>3.9829076896517522E-5</v>
      </c>
      <c r="H22" s="108">
        <v>0</v>
      </c>
      <c r="I22" s="108">
        <v>0</v>
      </c>
      <c r="J22" s="108">
        <v>1.4705872187218723E-5</v>
      </c>
      <c r="K22" s="108">
        <v>-2.1253069306930693E-5</v>
      </c>
      <c r="L22" s="108">
        <v>-2.5584877210428466E-5</v>
      </c>
      <c r="M22" s="108">
        <v>0</v>
      </c>
      <c r="N22" s="108">
        <v>-3.3204526344474037E-5</v>
      </c>
      <c r="O22" s="108">
        <v>-3.1760025317600258E-5</v>
      </c>
      <c r="P22" s="108">
        <v>0.16671423937459465</v>
      </c>
      <c r="Q22" s="108">
        <v>0</v>
      </c>
      <c r="R22" s="108">
        <v>0</v>
      </c>
      <c r="S22" s="108">
        <v>0</v>
      </c>
      <c r="T22" s="108">
        <v>0</v>
      </c>
      <c r="U22" s="108">
        <v>-3.4772061206120635E-5</v>
      </c>
      <c r="V22" s="108">
        <v>3.0180661779879856E-6</v>
      </c>
      <c r="W22" s="108">
        <v>-5.4415121512151267E-7</v>
      </c>
      <c r="X22" s="108">
        <v>-7.4321812181218116E-7</v>
      </c>
      <c r="Y22" s="108">
        <v>2.6506909090909092E-5</v>
      </c>
      <c r="Z22" s="108">
        <v>4.5887090909090914E-5</v>
      </c>
      <c r="AA22" s="108">
        <v>9.1405454545454552E-6</v>
      </c>
      <c r="AB22" s="108">
        <v>1.1394E-5</v>
      </c>
      <c r="AC22" s="108">
        <v>3.1380181818181814E-4</v>
      </c>
      <c r="AD22" s="108">
        <v>0</v>
      </c>
      <c r="AE22" s="108">
        <v>-3.9194001874414245E-6</v>
      </c>
      <c r="AF22" s="108">
        <v>2.3215263526352633E-5</v>
      </c>
      <c r="AG22" s="108">
        <v>-8.5855778681316401E-6</v>
      </c>
      <c r="AH22" s="108">
        <v>-3.8439138031450213E-6</v>
      </c>
      <c r="AI22" s="108">
        <v>0</v>
      </c>
      <c r="AJ22" s="108">
        <v>0</v>
      </c>
    </row>
    <row r="23" spans="1:36" x14ac:dyDescent="0.45">
      <c r="B23" s="107" t="s">
        <v>731</v>
      </c>
      <c r="C23" s="103" t="s">
        <v>893</v>
      </c>
      <c r="D23" s="108">
        <v>4.8097358130538012E-5</v>
      </c>
      <c r="E23" s="108">
        <v>4.8751086042149447E-5</v>
      </c>
      <c r="F23" s="108">
        <v>4.6378712885152916E-5</v>
      </c>
      <c r="G23" s="108">
        <v>3.8983162550362245E-5</v>
      </c>
      <c r="H23" s="108">
        <v>0</v>
      </c>
      <c r="I23" s="108">
        <v>0</v>
      </c>
      <c r="J23" s="108">
        <v>1.3088235823582359E-5</v>
      </c>
      <c r="K23" s="108">
        <v>-2.1253069306930693E-5</v>
      </c>
      <c r="L23" s="108">
        <v>-2.5584877210428466E-5</v>
      </c>
      <c r="M23" s="108">
        <v>0</v>
      </c>
      <c r="N23" s="108">
        <v>-2.7818595212924152E-5</v>
      </c>
      <c r="O23" s="108">
        <v>-3.1760025317600258E-5</v>
      </c>
      <c r="P23" s="108">
        <v>1.335396982526663E-5</v>
      </c>
      <c r="Q23" s="108">
        <v>0</v>
      </c>
      <c r="R23" s="108">
        <v>0</v>
      </c>
      <c r="S23" s="108">
        <v>0</v>
      </c>
      <c r="T23" s="108">
        <v>0</v>
      </c>
      <c r="U23" s="108">
        <v>-3.2684788478847908E-5</v>
      </c>
      <c r="V23" s="108">
        <v>2.2609554341863324E-6</v>
      </c>
      <c r="W23" s="108">
        <v>-1.4312421242124215E-6</v>
      </c>
      <c r="X23" s="108">
        <v>-5.8667266726672674E-7</v>
      </c>
      <c r="Y23" s="108">
        <v>2.6298181818181819E-5</v>
      </c>
      <c r="Z23" s="108">
        <v>4.5521818181818181E-5</v>
      </c>
      <c r="AA23" s="108">
        <v>8.67090909090909E-6</v>
      </c>
      <c r="AB23" s="108">
        <v>1.0819999999999998E-5</v>
      </c>
      <c r="AC23" s="108">
        <v>3.1223636363636367E-4</v>
      </c>
      <c r="AD23" s="108">
        <v>0</v>
      </c>
      <c r="AE23" s="108">
        <v>-2.3055295220243674E-6</v>
      </c>
      <c r="AF23" s="108">
        <v>9.1261726172617256E-6</v>
      </c>
      <c r="AG23" s="108">
        <v>-1.0205013604808757E-5</v>
      </c>
      <c r="AH23" s="108">
        <v>-3.8439138031450213E-6</v>
      </c>
      <c r="AI23" s="108">
        <v>0</v>
      </c>
      <c r="AJ23" s="108">
        <v>0</v>
      </c>
    </row>
    <row r="24" spans="1:36" x14ac:dyDescent="0.45">
      <c r="B24" s="107" t="s">
        <v>732</v>
      </c>
      <c r="C24" s="103" t="s">
        <v>893</v>
      </c>
      <c r="D24" s="108">
        <v>1.3285250214840316E-4</v>
      </c>
      <c r="E24" s="108">
        <v>1.3422908746070413E-4</v>
      </c>
      <c r="F24" s="108">
        <v>1.286392238122364E-4</v>
      </c>
      <c r="G24" s="108">
        <v>1.0588659965804698E-4</v>
      </c>
      <c r="H24" s="108">
        <v>7.3100000000000001E-5</v>
      </c>
      <c r="I24" s="108">
        <v>7.3100000000000001E-5</v>
      </c>
      <c r="J24" s="108">
        <v>1.2534622713524543E-4</v>
      </c>
      <c r="K24" s="108">
        <v>-2.0290407920792075E-5</v>
      </c>
      <c r="L24" s="108">
        <v>-3.4684878317070464E-5</v>
      </c>
      <c r="M24" s="108">
        <v>2.7083643226628734E-5</v>
      </c>
      <c r="N24" s="108">
        <v>-1.1753257725514538E-5</v>
      </c>
      <c r="O24" s="108">
        <v>-5.1512543750797112E-5</v>
      </c>
      <c r="P24" s="108">
        <v>1.769934917217619E-5</v>
      </c>
      <c r="Q24" s="108">
        <v>2.7083643226628734E-5</v>
      </c>
      <c r="R24" s="108">
        <v>2.7083643226628734E-5</v>
      </c>
      <c r="S24" s="108">
        <v>2.7083643226628734E-5</v>
      </c>
      <c r="T24" s="108">
        <v>2.7083643226628734E-5</v>
      </c>
      <c r="U24" s="108">
        <v>-1.4320692709270997E-5</v>
      </c>
      <c r="V24" s="108">
        <v>1.8285105060187763E-4</v>
      </c>
      <c r="W24" s="108">
        <v>7.7622674141772187E-5</v>
      </c>
      <c r="X24" s="108">
        <v>-1.1852725472547252E-6</v>
      </c>
      <c r="Y24" s="108">
        <v>1.1308218181818182E-5</v>
      </c>
      <c r="Z24" s="108">
        <v>1.9574381818181824E-5</v>
      </c>
      <c r="AA24" s="108">
        <v>3.7284909090909094E-6</v>
      </c>
      <c r="AB24" s="108">
        <v>4.6525999999999993E-6</v>
      </c>
      <c r="AC24" s="108">
        <v>2.27868753702601E-4</v>
      </c>
      <c r="AD24" s="108">
        <v>6.1580799999999978E-5</v>
      </c>
      <c r="AE24" s="108">
        <v>5.6519159618962354E-5</v>
      </c>
      <c r="AF24" s="108">
        <v>1.7825820972545011E-5</v>
      </c>
      <c r="AG24" s="108">
        <v>-3.6560683447655107E-5</v>
      </c>
      <c r="AH24" s="108">
        <v>1.1472473515938068E-5</v>
      </c>
      <c r="AI24" s="108">
        <v>4.5663888888888879E-5</v>
      </c>
      <c r="AJ24" s="108">
        <v>1.9170179104477608E-5</v>
      </c>
    </row>
    <row r="25" spans="1:36" x14ac:dyDescent="0.45">
      <c r="B25" s="107" t="s">
        <v>733</v>
      </c>
      <c r="C25" s="103" t="s">
        <v>893</v>
      </c>
      <c r="D25" s="108">
        <v>0.15627455998703815</v>
      </c>
      <c r="E25" s="108">
        <v>0.15762073742431551</v>
      </c>
      <c r="F25" s="108">
        <v>0.15165826031011559</v>
      </c>
      <c r="G25" s="108">
        <v>0.12341465442562122</v>
      </c>
      <c r="H25" s="108">
        <v>9.3499999999999989E-3</v>
      </c>
      <c r="I25" s="108">
        <v>9.3499999999999989E-3</v>
      </c>
      <c r="J25" s="108">
        <v>0.1344439372209931</v>
      </c>
      <c r="K25" s="108">
        <v>4.8967175401188105E-2</v>
      </c>
      <c r="L25" s="108">
        <v>4.4632451308919879E-2</v>
      </c>
      <c r="M25" s="108">
        <v>3.7792515758437742E-2</v>
      </c>
      <c r="N25" s="108">
        <v>6.1023236789564325E-2</v>
      </c>
      <c r="O25" s="108">
        <v>4.3605200509995792E-2</v>
      </c>
      <c r="P25" s="108">
        <v>2.9765879671576978E-3</v>
      </c>
      <c r="Q25" s="108">
        <v>3.7792515758437742E-2</v>
      </c>
      <c r="R25" s="108">
        <v>3.7792515758437742E-2</v>
      </c>
      <c r="S25" s="108">
        <v>3.7792515758437742E-2</v>
      </c>
      <c r="T25" s="108">
        <v>3.7792515758437742E-2</v>
      </c>
      <c r="U25" s="108">
        <v>8.9668875223906375E-2</v>
      </c>
      <c r="V25" s="108">
        <v>0.2502648760023527</v>
      </c>
      <c r="W25" s="108">
        <v>0.11742745677494466</v>
      </c>
      <c r="X25" s="108">
        <v>-2.1040451245124512E-4</v>
      </c>
      <c r="Y25" s="108">
        <v>1.1063127272727274E-3</v>
      </c>
      <c r="Z25" s="108">
        <v>1.9150472727272726E-3</v>
      </c>
      <c r="AA25" s="108">
        <v>3.6820363636363632E-4</v>
      </c>
      <c r="AB25" s="108">
        <v>4.5935999999999991E-4</v>
      </c>
      <c r="AC25" s="108">
        <v>0.14374671698933666</v>
      </c>
      <c r="AD25" s="108">
        <v>8.5929848319999988E-2</v>
      </c>
      <c r="AE25" s="108">
        <v>8.0139538350107009E-2</v>
      </c>
      <c r="AF25" s="108">
        <v>5.3765653459656768E-2</v>
      </c>
      <c r="AG25" s="108">
        <v>-6.7741242538046902E-3</v>
      </c>
      <c r="AH25" s="108">
        <v>2.9985928915135907E-2</v>
      </c>
      <c r="AI25" s="108">
        <v>6.3719390555555547E-2</v>
      </c>
      <c r="AJ25" s="108">
        <v>2.6750067922388057E-2</v>
      </c>
    </row>
    <row r="26" spans="1:36" x14ac:dyDescent="0.45">
      <c r="B26" s="109" t="s">
        <v>734</v>
      </c>
      <c r="C26" s="98" t="s">
        <v>893</v>
      </c>
      <c r="D26" s="110">
        <v>4.938916300405172E-6</v>
      </c>
      <c r="E26" s="110">
        <v>5.0522183206872894E-6</v>
      </c>
      <c r="F26" s="110">
        <v>4.7049882075966948E-6</v>
      </c>
      <c r="G26" s="110">
        <v>4.1957381820317723E-6</v>
      </c>
      <c r="H26" s="110">
        <v>0</v>
      </c>
      <c r="I26" s="110">
        <v>0</v>
      </c>
      <c r="J26" s="110">
        <v>1.0895183096309632E-5</v>
      </c>
      <c r="K26" s="110">
        <v>-2.1253069306930693E-5</v>
      </c>
      <c r="L26" s="110">
        <v>-2.5584877210428466E-5</v>
      </c>
      <c r="M26" s="110">
        <v>0</v>
      </c>
      <c r="N26" s="110">
        <v>-2.0516811436008668E-5</v>
      </c>
      <c r="O26" s="110">
        <v>-3.1760025317600258E-5</v>
      </c>
      <c r="P26" s="110">
        <v>5.0963551450569437E-6</v>
      </c>
      <c r="Q26" s="110">
        <v>0</v>
      </c>
      <c r="R26" s="110">
        <v>0</v>
      </c>
      <c r="S26" s="110">
        <v>0</v>
      </c>
      <c r="T26" s="110">
        <v>0</v>
      </c>
      <c r="U26" s="110">
        <v>-2.9855043024302455E-5</v>
      </c>
      <c r="V26" s="110">
        <v>1.2345295829466626E-6</v>
      </c>
      <c r="W26" s="110">
        <v>-2.6338839423942395E-6</v>
      </c>
      <c r="X26" s="110">
        <v>-3.744417581758176E-7</v>
      </c>
      <c r="Y26" s="110">
        <v>2.6152072727272732E-6</v>
      </c>
      <c r="Z26" s="110">
        <v>4.5266127272727278E-6</v>
      </c>
      <c r="AA26" s="110">
        <v>8.3421636363636363E-7</v>
      </c>
      <c r="AB26" s="110">
        <v>1.0418199999999998E-6</v>
      </c>
      <c r="AC26" s="110">
        <v>3.1114054545454539E-5</v>
      </c>
      <c r="AD26" s="110">
        <v>0</v>
      </c>
      <c r="AE26" s="110">
        <v>-1.1758200562324273E-7</v>
      </c>
      <c r="AF26" s="110">
        <v>-9.9746092009200918E-6</v>
      </c>
      <c r="AG26" s="110">
        <v>-1.240050576781816E-5</v>
      </c>
      <c r="AH26" s="110">
        <v>-3.8439138031450213E-6</v>
      </c>
      <c r="AI26" s="110">
        <v>0</v>
      </c>
      <c r="AJ26" s="110">
        <v>0</v>
      </c>
    </row>
    <row r="30" spans="1:36" s="81" customFormat="1" x14ac:dyDescent="0.45">
      <c r="A30" s="81" t="s">
        <v>9</v>
      </c>
      <c r="B30" s="117" t="s">
        <v>896</v>
      </c>
    </row>
  </sheetData>
  <pageMargins left="0.7" right="0.7" top="0.75" bottom="0.75" header="0.3" footer="0.3"/>
  <pageSetup paperSize="9" orientation="portrait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2:G21"/>
  <sheetViews>
    <sheetView workbookViewId="0">
      <selection activeCell="B17" sqref="B17"/>
    </sheetView>
  </sheetViews>
  <sheetFormatPr defaultRowHeight="14.25" x14ac:dyDescent="0.45"/>
  <sheetData>
    <row r="2" spans="2:7" s="81" customFormat="1" x14ac:dyDescent="0.45">
      <c r="B2" s="117" t="s">
        <v>952</v>
      </c>
    </row>
    <row r="4" spans="2:7" x14ac:dyDescent="0.45">
      <c r="B4" t="s">
        <v>944</v>
      </c>
      <c r="C4" t="s">
        <v>945</v>
      </c>
    </row>
    <row r="5" spans="2:7" x14ac:dyDescent="0.45">
      <c r="C5" t="s">
        <v>946</v>
      </c>
    </row>
    <row r="7" spans="2:7" x14ac:dyDescent="0.45">
      <c r="B7" t="s">
        <v>947</v>
      </c>
      <c r="C7">
        <v>75.2</v>
      </c>
      <c r="D7" t="s">
        <v>948</v>
      </c>
      <c r="E7" t="s">
        <v>9</v>
      </c>
      <c r="F7" s="158" t="s">
        <v>951</v>
      </c>
      <c r="G7" s="158"/>
    </row>
    <row r="8" spans="2:7" x14ac:dyDescent="0.45">
      <c r="B8" t="s">
        <v>947</v>
      </c>
      <c r="C8" s="79">
        <f>C7/1.0551</f>
        <v>71.272865131267181</v>
      </c>
      <c r="D8" t="s">
        <v>737</v>
      </c>
      <c r="E8" t="s">
        <v>9</v>
      </c>
      <c r="F8" s="158"/>
      <c r="G8" s="158"/>
    </row>
    <row r="9" spans="2:7" x14ac:dyDescent="0.45">
      <c r="B9" t="s">
        <v>949</v>
      </c>
      <c r="C9">
        <v>77.400000000000006</v>
      </c>
      <c r="D9" t="s">
        <v>737</v>
      </c>
      <c r="E9" t="s">
        <v>6</v>
      </c>
      <c r="F9" s="158"/>
      <c r="G9" s="158"/>
    </row>
    <row r="10" spans="2:7" x14ac:dyDescent="0.45">
      <c r="B10" t="s">
        <v>950</v>
      </c>
      <c r="C10">
        <v>74.099999999999994</v>
      </c>
      <c r="D10" t="s">
        <v>737</v>
      </c>
      <c r="E10" t="s">
        <v>6</v>
      </c>
      <c r="F10" s="158"/>
      <c r="G10" s="158"/>
    </row>
    <row r="14" spans="2:7" s="81" customFormat="1" x14ac:dyDescent="0.45">
      <c r="B14" s="117" t="s">
        <v>953</v>
      </c>
    </row>
    <row r="16" spans="2:7" x14ac:dyDescent="0.45">
      <c r="B16" t="s">
        <v>3</v>
      </c>
    </row>
    <row r="19" spans="2:2" x14ac:dyDescent="0.45">
      <c r="B19" t="s">
        <v>947</v>
      </c>
    </row>
    <row r="20" spans="2:2" x14ac:dyDescent="0.45">
      <c r="B20" t="s">
        <v>949</v>
      </c>
    </row>
    <row r="21" spans="2:2" x14ac:dyDescent="0.45">
      <c r="B21" t="s">
        <v>950</v>
      </c>
    </row>
  </sheetData>
  <mergeCells count="1">
    <mergeCell ref="F7:G10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R214"/>
  <sheetViews>
    <sheetView zoomScale="85" zoomScaleNormal="85" workbookViewId="0">
      <selection activeCell="I194" sqref="I194"/>
    </sheetView>
  </sheetViews>
  <sheetFormatPr defaultRowHeight="14.25" x14ac:dyDescent="0.45"/>
  <cols>
    <col min="1" max="1" width="10.265625" bestFit="1" customWidth="1"/>
    <col min="2" max="2" width="18" customWidth="1"/>
    <col min="3" max="3" width="26" bestFit="1" customWidth="1"/>
    <col min="4" max="4" width="26.86328125" bestFit="1" customWidth="1"/>
    <col min="5" max="5" width="19.1328125" bestFit="1" customWidth="1"/>
    <col min="6" max="6" width="11.73046875" customWidth="1"/>
    <col min="7" max="7" width="8.1328125" bestFit="1" customWidth="1"/>
    <col min="8" max="8" width="21.73046875" bestFit="1" customWidth="1"/>
    <col min="9" max="9" width="24.59765625" bestFit="1" customWidth="1"/>
    <col min="10" max="10" width="21.265625" bestFit="1" customWidth="1"/>
    <col min="11" max="11" width="10.73046875" bestFit="1" customWidth="1"/>
    <col min="22" max="22" width="12.3984375" bestFit="1" customWidth="1"/>
    <col min="23" max="23" width="14.86328125" bestFit="1" customWidth="1"/>
    <col min="24" max="24" width="11.73046875" bestFit="1" customWidth="1"/>
    <col min="25" max="25" width="10.86328125" bestFit="1" customWidth="1"/>
    <col min="26" max="26" width="11.73046875" bestFit="1" customWidth="1"/>
  </cols>
  <sheetData>
    <row r="1" spans="1:10" x14ac:dyDescent="0.45">
      <c r="A1" t="s">
        <v>3</v>
      </c>
      <c r="B1" t="s">
        <v>243</v>
      </c>
    </row>
    <row r="2" spans="1:10" x14ac:dyDescent="0.45">
      <c r="B2" t="s">
        <v>4</v>
      </c>
    </row>
    <row r="3" spans="1:10" x14ac:dyDescent="0.45">
      <c r="B3" t="s">
        <v>28</v>
      </c>
    </row>
    <row r="4" spans="1:10" x14ac:dyDescent="0.45">
      <c r="B4" t="s">
        <v>31</v>
      </c>
    </row>
    <row r="5" spans="1:10" x14ac:dyDescent="0.45">
      <c r="B5" t="s">
        <v>787</v>
      </c>
    </row>
    <row r="6" spans="1:10" x14ac:dyDescent="0.45">
      <c r="B6" t="s">
        <v>897</v>
      </c>
    </row>
    <row r="7" spans="1:10" x14ac:dyDescent="0.45">
      <c r="B7" t="s">
        <v>900</v>
      </c>
    </row>
    <row r="9" spans="1:10" x14ac:dyDescent="0.45">
      <c r="A9" t="s">
        <v>25</v>
      </c>
      <c r="B9" t="s">
        <v>32</v>
      </c>
    </row>
    <row r="11" spans="1:10" x14ac:dyDescent="0.45">
      <c r="A11" t="s">
        <v>5</v>
      </c>
      <c r="B11" t="s">
        <v>2</v>
      </c>
      <c r="C11" t="s">
        <v>255</v>
      </c>
      <c r="D11" t="s">
        <v>242</v>
      </c>
      <c r="E11" t="s">
        <v>257</v>
      </c>
      <c r="F11" t="s">
        <v>17</v>
      </c>
      <c r="G11" t="s">
        <v>7</v>
      </c>
      <c r="H11" t="s">
        <v>29</v>
      </c>
      <c r="I11" t="s">
        <v>30</v>
      </c>
      <c r="J11" t="s">
        <v>0</v>
      </c>
    </row>
    <row r="12" spans="1:10" x14ac:dyDescent="0.45">
      <c r="A12">
        <v>2030</v>
      </c>
      <c r="B12" t="s">
        <v>256</v>
      </c>
      <c r="C12" s="3">
        <f>(2.05+0.37)*Economic!$H$54</f>
        <v>2.3517978620019435</v>
      </c>
      <c r="D12" s="3"/>
      <c r="E12" s="3">
        <f>(1.21)*Economic!$H$54</f>
        <v>1.1758989310009718</v>
      </c>
    </row>
    <row r="13" spans="1:10" x14ac:dyDescent="0.45">
      <c r="A13">
        <v>2050</v>
      </c>
      <c r="B13" t="s">
        <v>256</v>
      </c>
      <c r="C13" s="3">
        <f>(1.85+0.33)*Economic!$H$54</f>
        <v>2.1185617103984451</v>
      </c>
      <c r="D13" s="3"/>
      <c r="E13" s="3">
        <f>(1.1)*Economic!$H$54</f>
        <v>1.0689990281827018</v>
      </c>
    </row>
    <row r="17" spans="2:4" x14ac:dyDescent="0.45">
      <c r="C17" s="118"/>
    </row>
    <row r="19" spans="2:4" x14ac:dyDescent="0.45">
      <c r="B19" s="4" t="s">
        <v>786</v>
      </c>
    </row>
    <row r="20" spans="2:4" x14ac:dyDescent="0.45">
      <c r="B20" s="149" t="s">
        <v>791</v>
      </c>
      <c r="C20" t="s">
        <v>788</v>
      </c>
    </row>
    <row r="21" spans="2:4" x14ac:dyDescent="0.45">
      <c r="B21" s="149"/>
      <c r="C21" t="s">
        <v>789</v>
      </c>
      <c r="D21" s="38"/>
    </row>
    <row r="22" spans="2:4" x14ac:dyDescent="0.45">
      <c r="B22" s="149"/>
      <c r="C22" t="s">
        <v>790</v>
      </c>
      <c r="D22" s="38"/>
    </row>
    <row r="23" spans="2:4" x14ac:dyDescent="0.45">
      <c r="B23" s="149"/>
      <c r="C23" t="s">
        <v>7</v>
      </c>
      <c r="D23" s="38"/>
    </row>
    <row r="24" spans="2:4" x14ac:dyDescent="0.45">
      <c r="B24" s="149"/>
      <c r="C24" t="s">
        <v>898</v>
      </c>
      <c r="D24" s="38" t="s">
        <v>792</v>
      </c>
    </row>
    <row r="25" spans="2:4" x14ac:dyDescent="0.45">
      <c r="B25" s="150" t="s">
        <v>794</v>
      </c>
      <c r="C25" t="s">
        <v>788</v>
      </c>
    </row>
    <row r="26" spans="2:4" x14ac:dyDescent="0.45">
      <c r="B26" s="150"/>
      <c r="C26" t="s">
        <v>789</v>
      </c>
    </row>
    <row r="27" spans="2:4" x14ac:dyDescent="0.45">
      <c r="B27" s="150"/>
      <c r="C27" t="s">
        <v>790</v>
      </c>
    </row>
    <row r="28" spans="2:4" x14ac:dyDescent="0.45">
      <c r="B28" s="150"/>
      <c r="C28" t="s">
        <v>7</v>
      </c>
    </row>
    <row r="29" spans="2:4" x14ac:dyDescent="0.45">
      <c r="B29" s="150"/>
      <c r="C29" t="s">
        <v>898</v>
      </c>
      <c r="D29" t="s">
        <v>899</v>
      </c>
    </row>
    <row r="30" spans="2:4" x14ac:dyDescent="0.45">
      <c r="B30" s="150" t="s">
        <v>773</v>
      </c>
      <c r="C30" t="s">
        <v>788</v>
      </c>
    </row>
    <row r="31" spans="2:4" x14ac:dyDescent="0.45">
      <c r="B31" s="150"/>
      <c r="C31" t="s">
        <v>789</v>
      </c>
    </row>
    <row r="32" spans="2:4" x14ac:dyDescent="0.45">
      <c r="B32" s="150"/>
      <c r="C32" t="s">
        <v>790</v>
      </c>
    </row>
    <row r="33" spans="2:4" x14ac:dyDescent="0.45">
      <c r="B33" s="150"/>
      <c r="C33" t="s">
        <v>7</v>
      </c>
      <c r="D33" t="s">
        <v>901</v>
      </c>
    </row>
    <row r="34" spans="2:4" x14ac:dyDescent="0.45">
      <c r="B34" s="150"/>
      <c r="C34" t="s">
        <v>898</v>
      </c>
    </row>
    <row r="49" spans="1:7" s="81" customFormat="1" x14ac:dyDescent="0.45">
      <c r="B49" s="81" t="s">
        <v>1116</v>
      </c>
    </row>
    <row r="51" spans="1:7" x14ac:dyDescent="0.45">
      <c r="B51" t="s">
        <v>1</v>
      </c>
      <c r="C51" t="s">
        <v>902</v>
      </c>
    </row>
    <row r="52" spans="1:7" x14ac:dyDescent="0.45">
      <c r="C52" t="s">
        <v>903</v>
      </c>
    </row>
    <row r="53" spans="1:7" x14ac:dyDescent="0.45">
      <c r="C53" t="s">
        <v>915</v>
      </c>
    </row>
    <row r="54" spans="1:7" x14ac:dyDescent="0.45">
      <c r="C54" t="s">
        <v>914</v>
      </c>
    </row>
    <row r="55" spans="1:7" x14ac:dyDescent="0.45">
      <c r="C55" t="s">
        <v>916</v>
      </c>
    </row>
    <row r="56" spans="1:7" x14ac:dyDescent="0.45">
      <c r="C56" t="s">
        <v>926</v>
      </c>
    </row>
    <row r="58" spans="1:7" s="120" customFormat="1" x14ac:dyDescent="0.45">
      <c r="B58" s="119" t="s">
        <v>904</v>
      </c>
    </row>
    <row r="59" spans="1:7" x14ac:dyDescent="0.45">
      <c r="A59" s="123"/>
      <c r="B59" t="s">
        <v>925</v>
      </c>
      <c r="E59" t="s">
        <v>906</v>
      </c>
    </row>
    <row r="60" spans="1:7" x14ac:dyDescent="0.45">
      <c r="A60" s="38"/>
      <c r="B60" t="s">
        <v>276</v>
      </c>
      <c r="C60" t="s">
        <v>281</v>
      </c>
      <c r="E60" t="s">
        <v>911</v>
      </c>
      <c r="F60" t="s">
        <v>905</v>
      </c>
      <c r="G60" t="s">
        <v>907</v>
      </c>
    </row>
    <row r="61" spans="1:7" x14ac:dyDescent="0.45">
      <c r="A61" s="38"/>
      <c r="B61" t="s">
        <v>283</v>
      </c>
      <c r="C61">
        <f>43.69</f>
        <v>43.69</v>
      </c>
      <c r="E61" t="s">
        <v>908</v>
      </c>
      <c r="F61" s="3">
        <v>0.15</v>
      </c>
      <c r="G61" s="3">
        <v>0.25</v>
      </c>
    </row>
    <row r="62" spans="1:7" x14ac:dyDescent="0.45">
      <c r="A62" s="38"/>
      <c r="B62" t="s">
        <v>277</v>
      </c>
      <c r="C62">
        <f>42.91</f>
        <v>42.91</v>
      </c>
      <c r="E62" t="s">
        <v>283</v>
      </c>
      <c r="F62" s="3">
        <v>0.25</v>
      </c>
      <c r="G62" s="3">
        <v>0.5</v>
      </c>
    </row>
    <row r="63" spans="1:7" x14ac:dyDescent="0.45">
      <c r="A63" s="38"/>
      <c r="B63" t="s">
        <v>279</v>
      </c>
      <c r="C63">
        <f>(43.2+44.8)/2</f>
        <v>44</v>
      </c>
      <c r="E63" t="s">
        <v>909</v>
      </c>
      <c r="F63" s="3">
        <v>0.5</v>
      </c>
      <c r="G63" s="3">
        <v>0.25</v>
      </c>
    </row>
    <row r="64" spans="1:7" x14ac:dyDescent="0.45">
      <c r="B64" t="s">
        <v>924</v>
      </c>
      <c r="C64">
        <v>44.938000000000002</v>
      </c>
    </row>
    <row r="65" spans="2:8" x14ac:dyDescent="0.45">
      <c r="E65" t="s">
        <v>912</v>
      </c>
    </row>
    <row r="66" spans="2:8" x14ac:dyDescent="0.45">
      <c r="E66" t="s">
        <v>921</v>
      </c>
      <c r="F66" s="3">
        <f>F61*$C64</f>
        <v>6.7407000000000004</v>
      </c>
      <c r="G66" s="3">
        <f>G61*$C64</f>
        <v>11.234500000000001</v>
      </c>
      <c r="H66" t="s">
        <v>922</v>
      </c>
    </row>
    <row r="67" spans="2:8" x14ac:dyDescent="0.45">
      <c r="E67" t="s">
        <v>283</v>
      </c>
      <c r="F67" s="3">
        <f>F62*$C61</f>
        <v>10.922499999999999</v>
      </c>
      <c r="G67" s="3">
        <f>G62*$C61</f>
        <v>21.844999999999999</v>
      </c>
      <c r="H67" t="s">
        <v>922</v>
      </c>
    </row>
    <row r="68" spans="2:8" x14ac:dyDescent="0.45">
      <c r="E68" t="s">
        <v>913</v>
      </c>
      <c r="F68" s="3">
        <f>F63*$C62</f>
        <v>21.454999999999998</v>
      </c>
      <c r="G68" s="3">
        <f>G63*$C63</f>
        <v>11</v>
      </c>
      <c r="H68" t="s">
        <v>922</v>
      </c>
    </row>
    <row r="69" spans="2:8" x14ac:dyDescent="0.45">
      <c r="F69" s="3">
        <f>SUM(F66:F68)</f>
        <v>39.118200000000002</v>
      </c>
      <c r="G69" s="3">
        <f>SUM(G66:G68)</f>
        <v>44.079499999999996</v>
      </c>
      <c r="H69" t="s">
        <v>923</v>
      </c>
    </row>
    <row r="71" spans="2:8" x14ac:dyDescent="0.45">
      <c r="E71" t="s">
        <v>283</v>
      </c>
      <c r="F71" s="3">
        <f>F67/F69</f>
        <v>0.27921785767238777</v>
      </c>
      <c r="G71" s="3">
        <f>G67/G69</f>
        <v>0.49558184643655218</v>
      </c>
      <c r="H71" t="s">
        <v>938</v>
      </c>
    </row>
    <row r="72" spans="2:8" x14ac:dyDescent="0.45">
      <c r="E72" t="s">
        <v>913</v>
      </c>
      <c r="F72" s="3">
        <f>F68/F69</f>
        <v>0.5484659314590139</v>
      </c>
      <c r="G72" s="3">
        <f>G68/G69</f>
        <v>0.24954911013055958</v>
      </c>
      <c r="H72" t="s">
        <v>938</v>
      </c>
    </row>
    <row r="75" spans="2:8" x14ac:dyDescent="0.45">
      <c r="B75" s="45"/>
      <c r="C75" s="45" t="s">
        <v>918</v>
      </c>
      <c r="D75" s="45"/>
      <c r="E75" s="45"/>
      <c r="F75" s="45"/>
    </row>
    <row r="76" spans="2:8" x14ac:dyDescent="0.45">
      <c r="B76" s="45"/>
      <c r="C76" s="45">
        <v>2030</v>
      </c>
      <c r="D76" s="45">
        <v>2040</v>
      </c>
      <c r="E76" s="45">
        <v>2050</v>
      </c>
      <c r="F76" s="45"/>
    </row>
    <row r="77" spans="2:8" x14ac:dyDescent="0.45">
      <c r="B77" s="45" t="s">
        <v>919</v>
      </c>
      <c r="C77" s="124">
        <v>0.26536842105263159</v>
      </c>
      <c r="D77" s="124">
        <v>0.28195394736842105</v>
      </c>
      <c r="E77" s="124">
        <v>0.29853947368421052</v>
      </c>
      <c r="F77" s="45" t="s">
        <v>917</v>
      </c>
    </row>
    <row r="78" spans="2:8" x14ac:dyDescent="0.45">
      <c r="B78" s="45" t="s">
        <v>920</v>
      </c>
      <c r="C78" s="124">
        <f>$G$71*C77</f>
        <v>0.13151177209121559</v>
      </c>
      <c r="D78" s="124">
        <f t="shared" ref="D78:E78" si="0">$G$71*D77</f>
        <v>0.13973125784691656</v>
      </c>
      <c r="E78" s="124">
        <f t="shared" si="0"/>
        <v>0.14795074360261753</v>
      </c>
      <c r="F78" s="45" t="s">
        <v>927</v>
      </c>
    </row>
    <row r="79" spans="2:8" x14ac:dyDescent="0.45">
      <c r="B79" s="45" t="s">
        <v>824</v>
      </c>
      <c r="C79" s="124">
        <f>$G$72*C77</f>
        <v>6.622245333043586E-2</v>
      </c>
      <c r="D79" s="124">
        <f t="shared" ref="D79:E79" si="1">$G$72*D77</f>
        <v>7.0361356663588101E-2</v>
      </c>
      <c r="E79" s="124">
        <f t="shared" si="1"/>
        <v>7.4500259996740342E-2</v>
      </c>
      <c r="F79" s="45" t="s">
        <v>928</v>
      </c>
    </row>
    <row r="80" spans="2:8" x14ac:dyDescent="0.45">
      <c r="B80" s="45" t="s">
        <v>964</v>
      </c>
      <c r="C80" s="122">
        <f>SUM(C78:C79)/C78</f>
        <v>1.5035477225909819</v>
      </c>
      <c r="D80" s="122">
        <f t="shared" ref="D80:E80" si="2">SUM(D78:D79)/D78</f>
        <v>1.5035477225909817</v>
      </c>
      <c r="E80" s="122">
        <f t="shared" si="2"/>
        <v>1.5035477225909819</v>
      </c>
      <c r="F80" s="45"/>
    </row>
    <row r="81" spans="2:6" x14ac:dyDescent="0.45">
      <c r="B81" s="45" t="s">
        <v>965</v>
      </c>
      <c r="C81" s="122">
        <f>SUM(C77)/C78</f>
        <v>2.0178301670862897</v>
      </c>
      <c r="D81" s="122">
        <f t="shared" ref="D81:E81" si="3">SUM(D77)/D78</f>
        <v>2.0178301670862897</v>
      </c>
      <c r="E81" s="122">
        <f t="shared" si="3"/>
        <v>2.0178301670862897</v>
      </c>
      <c r="F81" s="45"/>
    </row>
    <row r="84" spans="2:6" s="81" customFormat="1" x14ac:dyDescent="0.45">
      <c r="B84" s="81" t="s">
        <v>774</v>
      </c>
    </row>
    <row r="86" spans="2:6" x14ac:dyDescent="0.45">
      <c r="B86" t="s">
        <v>1</v>
      </c>
      <c r="C86" t="s">
        <v>929</v>
      </c>
    </row>
    <row r="87" spans="2:6" x14ac:dyDescent="0.45">
      <c r="C87" t="s">
        <v>932</v>
      </c>
    </row>
    <row r="88" spans="2:6" x14ac:dyDescent="0.45">
      <c r="C88" t="s">
        <v>931</v>
      </c>
    </row>
    <row r="89" spans="2:6" x14ac:dyDescent="0.45">
      <c r="C89" t="s">
        <v>930</v>
      </c>
    </row>
    <row r="91" spans="2:6" x14ac:dyDescent="0.45">
      <c r="B91" t="s">
        <v>6</v>
      </c>
    </row>
    <row r="92" spans="2:6" x14ac:dyDescent="0.45">
      <c r="B92" t="s">
        <v>910</v>
      </c>
    </row>
    <row r="95" spans="2:6" x14ac:dyDescent="0.45">
      <c r="B95" s="45"/>
      <c r="C95" s="45" t="s">
        <v>918</v>
      </c>
      <c r="D95" s="45"/>
      <c r="E95" s="45"/>
      <c r="F95" s="45"/>
    </row>
    <row r="96" spans="2:6" x14ac:dyDescent="0.45">
      <c r="B96" s="45"/>
      <c r="C96" s="45">
        <v>2030</v>
      </c>
      <c r="D96" s="45">
        <v>2040</v>
      </c>
      <c r="E96" s="45">
        <v>2050</v>
      </c>
      <c r="F96" s="45"/>
    </row>
    <row r="97" spans="2:6" x14ac:dyDescent="0.45">
      <c r="B97" s="45" t="s">
        <v>919</v>
      </c>
      <c r="C97" s="124">
        <v>0.7</v>
      </c>
      <c r="D97" s="124">
        <v>0.73</v>
      </c>
      <c r="E97" s="124">
        <v>0.75</v>
      </c>
      <c r="F97" s="45" t="s">
        <v>942</v>
      </c>
    </row>
    <row r="98" spans="2:6" x14ac:dyDescent="0.45">
      <c r="B98" s="45" t="s">
        <v>920</v>
      </c>
      <c r="C98" s="124">
        <f>0.6*C97</f>
        <v>0.42</v>
      </c>
      <c r="D98" s="124">
        <f t="shared" ref="D98" si="4">0.6*D97</f>
        <v>0.438</v>
      </c>
      <c r="E98" s="124">
        <f>0.6*E97</f>
        <v>0.44999999999999996</v>
      </c>
      <c r="F98" s="45" t="s">
        <v>942</v>
      </c>
    </row>
    <row r="99" spans="2:6" x14ac:dyDescent="0.45">
      <c r="B99" s="45" t="s">
        <v>824</v>
      </c>
      <c r="C99" s="124">
        <f>C97*0.2</f>
        <v>0.13999999999999999</v>
      </c>
      <c r="D99" s="124">
        <f t="shared" ref="D99:E99" si="5">D97*0.2</f>
        <v>0.14599999999999999</v>
      </c>
      <c r="E99" s="124">
        <f t="shared" si="5"/>
        <v>0.15000000000000002</v>
      </c>
      <c r="F99" s="45" t="s">
        <v>942</v>
      </c>
    </row>
    <row r="100" spans="2:6" x14ac:dyDescent="0.45">
      <c r="B100" s="45" t="s">
        <v>966</v>
      </c>
      <c r="C100" s="122">
        <f>SUM(C98:C99)/C98</f>
        <v>1.3333333333333333</v>
      </c>
      <c r="D100" s="122">
        <f t="shared" ref="D100:E100" si="6">SUM(D98:D99)/D98</f>
        <v>1.3333333333333333</v>
      </c>
      <c r="E100" s="122">
        <f t="shared" si="6"/>
        <v>1.3333333333333335</v>
      </c>
      <c r="F100" s="45"/>
    </row>
    <row r="101" spans="2:6" x14ac:dyDescent="0.45">
      <c r="B101" s="45" t="s">
        <v>965</v>
      </c>
      <c r="C101" s="122">
        <f>C97/C98</f>
        <v>1.6666666666666665</v>
      </c>
      <c r="D101" s="122">
        <f t="shared" ref="D101:E101" si="7">D97/D98</f>
        <v>1.6666666666666665</v>
      </c>
      <c r="E101" s="122">
        <f t="shared" si="7"/>
        <v>1.6666666666666667</v>
      </c>
      <c r="F101" s="45"/>
    </row>
    <row r="103" spans="2:6" x14ac:dyDescent="0.45">
      <c r="B103" t="s">
        <v>933</v>
      </c>
    </row>
    <row r="104" spans="2:6" x14ac:dyDescent="0.45">
      <c r="B104" t="s">
        <v>276</v>
      </c>
      <c r="C104" t="s">
        <v>281</v>
      </c>
      <c r="D104" t="s">
        <v>282</v>
      </c>
    </row>
    <row r="105" spans="2:6" x14ac:dyDescent="0.45">
      <c r="B105" t="s">
        <v>283</v>
      </c>
      <c r="C105">
        <f>43.69</f>
        <v>43.69</v>
      </c>
      <c r="D105" s="3">
        <f>C105/3.6</f>
        <v>12.136111111111109</v>
      </c>
    </row>
    <row r="106" spans="2:6" x14ac:dyDescent="0.45">
      <c r="B106" t="s">
        <v>277</v>
      </c>
      <c r="C106">
        <f>42.91</f>
        <v>42.91</v>
      </c>
      <c r="D106" s="3">
        <f>C106/3.6</f>
        <v>11.919444444444443</v>
      </c>
    </row>
    <row r="107" spans="2:6" x14ac:dyDescent="0.45">
      <c r="B107" t="s">
        <v>279</v>
      </c>
      <c r="C107">
        <f>(43.2+44.8)/2</f>
        <v>44</v>
      </c>
      <c r="D107" s="3">
        <f>C107/3.6</f>
        <v>12.222222222222221</v>
      </c>
    </row>
    <row r="108" spans="2:6" x14ac:dyDescent="0.45">
      <c r="B108" t="s">
        <v>924</v>
      </c>
      <c r="C108">
        <v>44.938000000000002</v>
      </c>
      <c r="D108" s="3">
        <f>C108/3.6</f>
        <v>12.482777777777779</v>
      </c>
    </row>
    <row r="109" spans="2:6" x14ac:dyDescent="0.45">
      <c r="B109" t="s">
        <v>1048</v>
      </c>
      <c r="C109">
        <v>46.6</v>
      </c>
      <c r="D109" s="3">
        <f>C109/3.6</f>
        <v>12.944444444444445</v>
      </c>
    </row>
    <row r="111" spans="2:6" x14ac:dyDescent="0.45">
      <c r="B111" s="45" t="s">
        <v>934</v>
      </c>
      <c r="C111" s="45">
        <v>2030</v>
      </c>
      <c r="D111" s="45">
        <v>2040</v>
      </c>
      <c r="E111" s="45">
        <v>2050</v>
      </c>
    </row>
    <row r="112" spans="2:6" x14ac:dyDescent="0.45">
      <c r="B112" s="45" t="s">
        <v>935</v>
      </c>
      <c r="C112" s="122">
        <v>3.9</v>
      </c>
      <c r="D112" s="122">
        <v>3.6</v>
      </c>
      <c r="E112" s="122">
        <v>3.3</v>
      </c>
    </row>
    <row r="113" spans="2:5" x14ac:dyDescent="0.45">
      <c r="B113" s="45" t="s">
        <v>936</v>
      </c>
      <c r="C113" s="122">
        <f>C112/(0.6*$D$105+0.2*$D$107+0.2*$D$109)</f>
        <v>0.31668696711327654</v>
      </c>
      <c r="D113" s="122">
        <f t="shared" ref="D113:E113" si="8">D112/(0.6*$D$105+0.2*$D$107+0.2*$D$109)</f>
        <v>0.29232643118148605</v>
      </c>
      <c r="E113" s="122">
        <f t="shared" si="8"/>
        <v>0.26796589524969555</v>
      </c>
    </row>
    <row r="114" spans="2:5" x14ac:dyDescent="0.45">
      <c r="B114" s="45" t="s">
        <v>937</v>
      </c>
      <c r="C114" s="122">
        <f>C113/0.6</f>
        <v>0.52781161185546088</v>
      </c>
      <c r="D114" s="122">
        <f>D113/0.6</f>
        <v>0.48721071863581011</v>
      </c>
      <c r="E114" s="122">
        <f>E113/0.6</f>
        <v>0.44660982541615929</v>
      </c>
    </row>
    <row r="118" spans="2:5" s="81" customFormat="1" x14ac:dyDescent="0.45">
      <c r="B118" s="81" t="s">
        <v>770</v>
      </c>
    </row>
    <row r="127" spans="2:5" s="81" customFormat="1" x14ac:dyDescent="0.45">
      <c r="B127" s="81" t="s">
        <v>1117</v>
      </c>
    </row>
    <row r="129" spans="2:3" x14ac:dyDescent="0.45">
      <c r="B129" t="s">
        <v>3</v>
      </c>
      <c r="C129" t="s">
        <v>1118</v>
      </c>
    </row>
    <row r="135" spans="2:3" x14ac:dyDescent="0.45">
      <c r="B135" t="s">
        <v>6</v>
      </c>
    </row>
    <row r="165" spans="2:2" x14ac:dyDescent="0.45">
      <c r="B165" t="s">
        <v>1119</v>
      </c>
    </row>
    <row r="166" spans="2:2" x14ac:dyDescent="0.45">
      <c r="B166">
        <f>55.4/39</f>
        <v>1.4205128205128206</v>
      </c>
    </row>
    <row r="168" spans="2:2" x14ac:dyDescent="0.45">
      <c r="B168" t="s">
        <v>1120</v>
      </c>
    </row>
    <row r="169" spans="2:2" x14ac:dyDescent="0.45">
      <c r="B169">
        <f>B166*0.39</f>
        <v>0.55400000000000005</v>
      </c>
    </row>
    <row r="170" spans="2:2" x14ac:dyDescent="0.45">
      <c r="B170" t="s">
        <v>1121</v>
      </c>
    </row>
    <row r="177" spans="1:9" s="81" customFormat="1" x14ac:dyDescent="0.45">
      <c r="B177" s="81" t="s">
        <v>1128</v>
      </c>
    </row>
    <row r="179" spans="1:9" x14ac:dyDescent="0.45">
      <c r="B179" t="s">
        <v>0</v>
      </c>
      <c r="C179" t="s">
        <v>6</v>
      </c>
      <c r="D179" s="118" t="s">
        <v>1129</v>
      </c>
    </row>
    <row r="180" spans="1:9" x14ac:dyDescent="0.45">
      <c r="C180" t="s">
        <v>9</v>
      </c>
      <c r="D180" t="s">
        <v>1130</v>
      </c>
    </row>
    <row r="181" spans="1:9" x14ac:dyDescent="0.45">
      <c r="C181" t="s">
        <v>1141</v>
      </c>
      <c r="D181" t="s">
        <v>1142</v>
      </c>
    </row>
    <row r="182" spans="1:9" x14ac:dyDescent="0.45">
      <c r="C182" t="s">
        <v>1155</v>
      </c>
      <c r="D182" s="118" t="s">
        <v>1156</v>
      </c>
    </row>
    <row r="183" spans="1:9" x14ac:dyDescent="0.45">
      <c r="C183" t="s">
        <v>1150</v>
      </c>
      <c r="D183" t="s">
        <v>1151</v>
      </c>
    </row>
    <row r="185" spans="1:9" x14ac:dyDescent="0.45">
      <c r="B185" s="12" t="s">
        <v>7</v>
      </c>
      <c r="C185">
        <v>2030</v>
      </c>
      <c r="D185">
        <v>2040</v>
      </c>
      <c r="E185">
        <v>2050</v>
      </c>
    </row>
    <row r="186" spans="1:9" x14ac:dyDescent="0.45">
      <c r="B186" t="s">
        <v>760</v>
      </c>
      <c r="C186">
        <v>0.66</v>
      </c>
      <c r="D186">
        <v>0.68</v>
      </c>
      <c r="E186">
        <v>0.69</v>
      </c>
    </row>
    <row r="188" spans="1:9" x14ac:dyDescent="0.45">
      <c r="A188" s="139"/>
      <c r="B188" s="12" t="s">
        <v>1132</v>
      </c>
    </row>
    <row r="190" spans="1:9" x14ac:dyDescent="0.45">
      <c r="C190">
        <v>2030</v>
      </c>
      <c r="D190">
        <v>2040</v>
      </c>
      <c r="E190">
        <v>2050</v>
      </c>
    </row>
    <row r="191" spans="1:9" x14ac:dyDescent="0.45">
      <c r="B191" t="s">
        <v>1131</v>
      </c>
      <c r="C191" s="3">
        <v>2.07268472906404</v>
      </c>
      <c r="D191" s="141">
        <v>1.872529556650246</v>
      </c>
      <c r="E191" s="3">
        <v>1.7500123152709357</v>
      </c>
      <c r="F191" t="s">
        <v>1134</v>
      </c>
      <c r="G191" t="s">
        <v>1155</v>
      </c>
    </row>
    <row r="192" spans="1:9" x14ac:dyDescent="0.45">
      <c r="B192" t="s">
        <v>1133</v>
      </c>
      <c r="C192">
        <v>0.19</v>
      </c>
      <c r="D192">
        <f>AVERAGE(C192,E192)</f>
        <v>0.18</v>
      </c>
      <c r="E192">
        <v>0.17</v>
      </c>
      <c r="F192" t="s">
        <v>1134</v>
      </c>
      <c r="G192" t="s">
        <v>6</v>
      </c>
      <c r="I192" s="12" t="s">
        <v>1143</v>
      </c>
    </row>
    <row r="193" spans="2:18" x14ac:dyDescent="0.45">
      <c r="B193" t="s">
        <v>760</v>
      </c>
      <c r="C193" s="3">
        <f>926470.588235294/1000000</f>
        <v>0.92647058823529393</v>
      </c>
      <c r="D193" s="3">
        <f>637148.337595908/1000000</f>
        <v>0.63714833759590794</v>
      </c>
      <c r="E193" s="3">
        <f>347826.086956522/1000000</f>
        <v>0.34782608695652201</v>
      </c>
      <c r="F193" t="s">
        <v>1135</v>
      </c>
      <c r="G193" t="s">
        <v>9</v>
      </c>
      <c r="H193" s="139" t="s">
        <v>1064</v>
      </c>
      <c r="I193" s="2">
        <v>80569.384385503901</v>
      </c>
      <c r="J193" t="s">
        <v>1144</v>
      </c>
    </row>
    <row r="194" spans="2:18" x14ac:dyDescent="0.45">
      <c r="B194" t="s">
        <v>1140</v>
      </c>
      <c r="C194" s="3">
        <v>0</v>
      </c>
      <c r="D194" s="3">
        <v>0</v>
      </c>
      <c r="E194" s="3">
        <v>0</v>
      </c>
      <c r="F194" t="s">
        <v>1148</v>
      </c>
      <c r="G194" t="s">
        <v>1141</v>
      </c>
      <c r="H194" s="139" t="s">
        <v>1147</v>
      </c>
      <c r="I194" s="140">
        <v>126051.906350117</v>
      </c>
      <c r="J194" t="s">
        <v>1144</v>
      </c>
    </row>
    <row r="195" spans="2:18" x14ac:dyDescent="0.45">
      <c r="B195" t="s">
        <v>1145</v>
      </c>
      <c r="C195" s="3">
        <f>(C191+C192)/C186 + C193 +C194/1000*$I193/1000</f>
        <v>4.3547807837868699</v>
      </c>
      <c r="D195" s="3">
        <f>(D191+D192)/D186 + D193 +D194/1000*$I193/1000</f>
        <v>3.655574156199211</v>
      </c>
      <c r="E195" s="3">
        <f>(E191+E192)/E186 + E193 +E194/1000*$I193/1000</f>
        <v>3.1304526308274432</v>
      </c>
      <c r="F195" t="s">
        <v>1135</v>
      </c>
    </row>
    <row r="196" spans="2:18" x14ac:dyDescent="0.45">
      <c r="B196" t="s">
        <v>1146</v>
      </c>
      <c r="C196" s="3">
        <f>(C191+C192)/C186 + C193 +C194/1000*$I194/1000</f>
        <v>4.3547807837868699</v>
      </c>
      <c r="D196" s="3">
        <f>(D191+D192)/D186 + D193 +D194/1000*$I194/1000</f>
        <v>3.655574156199211</v>
      </c>
      <c r="E196" s="3">
        <f>(E191+E192)/E186 + E193 +E194/1000*$I194/1000</f>
        <v>3.1304526308274432</v>
      </c>
      <c r="F196" t="s">
        <v>1135</v>
      </c>
    </row>
    <row r="197" spans="2:18" x14ac:dyDescent="0.45">
      <c r="I197" t="s">
        <v>1155</v>
      </c>
    </row>
    <row r="198" spans="2:18" x14ac:dyDescent="0.45">
      <c r="B198" s="12" t="s">
        <v>789</v>
      </c>
    </row>
    <row r="200" spans="2:18" x14ac:dyDescent="0.45">
      <c r="C200">
        <v>2030</v>
      </c>
      <c r="D200">
        <v>2040</v>
      </c>
      <c r="E200">
        <v>2050</v>
      </c>
    </row>
    <row r="201" spans="2:18" x14ac:dyDescent="0.45">
      <c r="B201" t="s">
        <v>1131</v>
      </c>
      <c r="C201">
        <v>37456</v>
      </c>
      <c r="D201" s="14">
        <v>32653</v>
      </c>
      <c r="E201">
        <v>31693</v>
      </c>
      <c r="F201" t="s">
        <v>1137</v>
      </c>
      <c r="G201" t="s">
        <v>6</v>
      </c>
    </row>
    <row r="202" spans="2:18" x14ac:dyDescent="0.45">
      <c r="B202" t="s">
        <v>1133</v>
      </c>
      <c r="C202">
        <v>0</v>
      </c>
      <c r="D202">
        <v>0</v>
      </c>
      <c r="E202">
        <v>0</v>
      </c>
      <c r="F202" t="s">
        <v>1137</v>
      </c>
      <c r="G202" t="s">
        <v>6</v>
      </c>
    </row>
    <row r="203" spans="2:18" x14ac:dyDescent="0.45">
      <c r="B203" t="s">
        <v>760</v>
      </c>
      <c r="C203" s="2">
        <v>46323.529411764706</v>
      </c>
      <c r="D203" s="2">
        <v>31857.416879795401</v>
      </c>
      <c r="E203" s="2">
        <v>17391.304347826092</v>
      </c>
      <c r="F203" t="s">
        <v>1136</v>
      </c>
      <c r="G203" t="s">
        <v>9</v>
      </c>
    </row>
    <row r="204" spans="2:18" x14ac:dyDescent="0.45">
      <c r="B204" t="s">
        <v>1140</v>
      </c>
      <c r="C204" s="2">
        <v>0</v>
      </c>
      <c r="D204" s="2">
        <v>0</v>
      </c>
      <c r="E204" s="2">
        <v>0</v>
      </c>
      <c r="F204" t="s">
        <v>1149</v>
      </c>
      <c r="G204" t="s">
        <v>1141</v>
      </c>
    </row>
    <row r="205" spans="2:18" x14ac:dyDescent="0.45">
      <c r="B205" t="s">
        <v>1145</v>
      </c>
      <c r="C205" s="2">
        <f>(C201+C202)/C186 + C203 +C204/1000*$I193/1000</f>
        <v>103075.04456327987</v>
      </c>
      <c r="D205" s="2">
        <f t="shared" ref="D205:E205" si="9">(D201+D202)/D186 + D203 +D204/1000*$I193/1000</f>
        <v>79876.534526854215</v>
      </c>
      <c r="E205" s="2">
        <f t="shared" si="9"/>
        <v>63323.188405797104</v>
      </c>
      <c r="F205" t="s">
        <v>1139</v>
      </c>
      <c r="J205">
        <v>2025</v>
      </c>
      <c r="K205">
        <v>2035</v>
      </c>
      <c r="L205">
        <v>2045</v>
      </c>
      <c r="O205">
        <v>2030</v>
      </c>
      <c r="P205">
        <v>2040</v>
      </c>
      <c r="Q205">
        <v>2050</v>
      </c>
    </row>
    <row r="206" spans="2:18" x14ac:dyDescent="0.45">
      <c r="B206" t="s">
        <v>1146</v>
      </c>
      <c r="C206" s="2">
        <f>(C201+C202)/C186 + C203 +C204/1000*$I194/1000</f>
        <v>103075.04456327987</v>
      </c>
      <c r="D206" s="2">
        <f t="shared" ref="D206:E206" si="10">(D201+D202)/D186 + D203 +D204/1000*$I194/1000</f>
        <v>79876.534526854215</v>
      </c>
      <c r="E206" s="2">
        <f t="shared" si="10"/>
        <v>63323.188405797104</v>
      </c>
      <c r="F206" t="s">
        <v>1139</v>
      </c>
      <c r="J206">
        <v>2.1164999999999998</v>
      </c>
      <c r="K206">
        <v>1.9097999999999999</v>
      </c>
      <c r="L206">
        <v>1.7839</v>
      </c>
      <c r="N206" t="s">
        <v>504</v>
      </c>
      <c r="O206" s="3">
        <f>J210*0.95</f>
        <v>2.1037750000000002</v>
      </c>
      <c r="P206" s="3">
        <f t="shared" ref="P206:Q206" si="11">K210*0.95</f>
        <v>1.9006174999999996</v>
      </c>
      <c r="Q206" s="3">
        <f t="shared" si="11"/>
        <v>1.7762624999999996</v>
      </c>
      <c r="R206" s="26">
        <v>16</v>
      </c>
    </row>
    <row r="207" spans="2:18" x14ac:dyDescent="0.45">
      <c r="J207">
        <v>2.2025000000000001</v>
      </c>
      <c r="K207">
        <v>1.9915</v>
      </c>
      <c r="L207">
        <v>1.8655999999999999</v>
      </c>
      <c r="N207" t="s">
        <v>1157</v>
      </c>
      <c r="O207" s="3">
        <f>O206/(1+0.015)</f>
        <v>2.07268472906404</v>
      </c>
      <c r="P207" s="3">
        <f t="shared" ref="P207:Q207" si="12">P206/(1+0.015)</f>
        <v>1.872529556650246</v>
      </c>
      <c r="Q207" s="3">
        <f t="shared" si="12"/>
        <v>1.7500123152709357</v>
      </c>
      <c r="R207" s="26">
        <v>15</v>
      </c>
    </row>
    <row r="208" spans="2:18" x14ac:dyDescent="0.45">
      <c r="B208" s="12" t="s">
        <v>790</v>
      </c>
      <c r="J208">
        <v>2.2265000000000001</v>
      </c>
      <c r="K208">
        <v>2.0097999999999998</v>
      </c>
      <c r="L208">
        <v>1.8738999999999999</v>
      </c>
      <c r="N208" t="s">
        <v>1158</v>
      </c>
    </row>
    <row r="209" spans="2:14" x14ac:dyDescent="0.45">
      <c r="C209">
        <v>2030</v>
      </c>
      <c r="D209">
        <v>2040</v>
      </c>
      <c r="E209">
        <v>2050</v>
      </c>
      <c r="J209">
        <v>2.3125</v>
      </c>
      <c r="K209">
        <v>2.0914999999999999</v>
      </c>
      <c r="L209">
        <v>1.9556</v>
      </c>
      <c r="N209" t="s">
        <v>1159</v>
      </c>
    </row>
    <row r="210" spans="2:14" x14ac:dyDescent="0.45">
      <c r="B210" t="s">
        <v>1131</v>
      </c>
      <c r="C210">
        <v>3.74</v>
      </c>
      <c r="D210" s="14">
        <v>3.2850000000000001</v>
      </c>
      <c r="E210">
        <v>3.12</v>
      </c>
      <c r="F210" t="s">
        <v>1138</v>
      </c>
      <c r="G210" t="s">
        <v>6</v>
      </c>
      <c r="I210" s="139" t="s">
        <v>231</v>
      </c>
      <c r="J210">
        <f>AVERAGE(J206:J209)</f>
        <v>2.2145000000000001</v>
      </c>
      <c r="K210">
        <f>AVERAGE(K206:K209)</f>
        <v>2.0006499999999998</v>
      </c>
      <c r="L210">
        <f>AVERAGE(L206:L209)</f>
        <v>1.8697499999999998</v>
      </c>
    </row>
    <row r="211" spans="2:14" x14ac:dyDescent="0.45">
      <c r="B211" t="s">
        <v>1133</v>
      </c>
      <c r="C211">
        <v>0</v>
      </c>
      <c r="D211">
        <v>0</v>
      </c>
      <c r="E211">
        <v>0</v>
      </c>
      <c r="F211" t="s">
        <v>1138</v>
      </c>
      <c r="G211" t="s">
        <v>6</v>
      </c>
    </row>
    <row r="212" spans="2:14" x14ac:dyDescent="0.45">
      <c r="B212" t="s">
        <v>760</v>
      </c>
      <c r="C212" s="2">
        <v>0</v>
      </c>
      <c r="D212" s="2">
        <v>0</v>
      </c>
      <c r="E212" s="2">
        <v>0</v>
      </c>
      <c r="F212" t="s">
        <v>1139</v>
      </c>
      <c r="G212" t="s">
        <v>9</v>
      </c>
    </row>
    <row r="213" spans="2:14" x14ac:dyDescent="0.45">
      <c r="B213" t="s">
        <v>1145</v>
      </c>
      <c r="C213" s="3">
        <f>C210/C186</f>
        <v>5.666666666666667</v>
      </c>
      <c r="D213" s="3">
        <f t="shared" ref="D213:E213" si="13">D210/D186</f>
        <v>4.8308823529411766</v>
      </c>
      <c r="E213" s="3">
        <f t="shared" si="13"/>
        <v>4.5217391304347831</v>
      </c>
      <c r="F213" t="s">
        <v>1139</v>
      </c>
    </row>
    <row r="214" spans="2:14" x14ac:dyDescent="0.45">
      <c r="B214" t="s">
        <v>1146</v>
      </c>
      <c r="C214" s="3">
        <v>5.666666666666667</v>
      </c>
      <c r="D214" s="3">
        <v>4.8308823529411766</v>
      </c>
      <c r="E214" s="3">
        <v>4.5217391304347831</v>
      </c>
      <c r="F214" s="3" t="s">
        <v>1139</v>
      </c>
    </row>
  </sheetData>
  <mergeCells count="3">
    <mergeCell ref="B20:B24"/>
    <mergeCell ref="B25:B29"/>
    <mergeCell ref="B30:B34"/>
  </mergeCells>
  <pageMargins left="0.7" right="0.7" top="0.75" bottom="0.75" header="0.3" footer="0.3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X235"/>
  <sheetViews>
    <sheetView zoomScale="70" zoomScaleNormal="70" workbookViewId="0">
      <selection activeCell="H216" sqref="H216"/>
    </sheetView>
  </sheetViews>
  <sheetFormatPr defaultRowHeight="14.25" x14ac:dyDescent="0.45"/>
  <cols>
    <col min="2" max="2" width="26.1328125" customWidth="1"/>
    <col min="3" max="3" width="16.59765625" customWidth="1"/>
    <col min="4" max="4" width="11.265625" customWidth="1"/>
    <col min="5" max="5" width="13.73046875" customWidth="1"/>
    <col min="6" max="6" width="12.3984375" customWidth="1"/>
    <col min="7" max="7" width="13.3984375" customWidth="1"/>
    <col min="8" max="8" width="21.1328125" bestFit="1" customWidth="1"/>
    <col min="9" max="9" width="24" customWidth="1"/>
    <col min="10" max="10" width="12.59765625" customWidth="1"/>
    <col min="11" max="11" width="11.86328125" customWidth="1"/>
    <col min="12" max="12" width="18.265625" bestFit="1" customWidth="1"/>
    <col min="13" max="13" width="12.59765625" customWidth="1"/>
    <col min="14" max="14" width="13.6640625" customWidth="1"/>
    <col min="15" max="15" width="12" customWidth="1"/>
    <col min="16" max="17" width="17.1328125" bestFit="1" customWidth="1"/>
    <col min="18" max="19" width="9.73046875" bestFit="1" customWidth="1"/>
    <col min="22" max="22" width="13" customWidth="1"/>
    <col min="23" max="24" width="11.73046875" bestFit="1" customWidth="1"/>
  </cols>
  <sheetData>
    <row r="1" spans="1:50" x14ac:dyDescent="0.45">
      <c r="A1" t="s">
        <v>3</v>
      </c>
      <c r="B1" t="s">
        <v>35</v>
      </c>
    </row>
    <row r="4" spans="1:50" x14ac:dyDescent="0.45">
      <c r="AQ4" s="153" t="s">
        <v>506</v>
      </c>
      <c r="AR4" s="153" t="s">
        <v>510</v>
      </c>
      <c r="AS4" s="153" t="s">
        <v>501</v>
      </c>
      <c r="AT4" s="153"/>
      <c r="AU4" s="153"/>
      <c r="AV4" s="153" t="s">
        <v>511</v>
      </c>
      <c r="AW4" s="153"/>
      <c r="AX4" s="153"/>
    </row>
    <row r="5" spans="1:50" x14ac:dyDescent="0.45">
      <c r="AQ5" s="153"/>
      <c r="AR5" s="153"/>
      <c r="AS5" s="44" t="s">
        <v>174</v>
      </c>
      <c r="AT5" s="44" t="s">
        <v>500</v>
      </c>
      <c r="AU5" s="44" t="s">
        <v>175</v>
      </c>
      <c r="AV5" s="44" t="s">
        <v>174</v>
      </c>
      <c r="AW5" s="44" t="s">
        <v>500</v>
      </c>
      <c r="AX5" s="44" t="s">
        <v>175</v>
      </c>
    </row>
    <row r="6" spans="1:50" x14ac:dyDescent="0.45">
      <c r="AP6" s="154" t="s">
        <v>504</v>
      </c>
      <c r="AQ6" s="52" t="s">
        <v>507</v>
      </c>
      <c r="AR6" s="52">
        <v>1.2</v>
      </c>
      <c r="AS6" s="52">
        <v>1.4</v>
      </c>
      <c r="AT6" s="53">
        <v>1.5</v>
      </c>
      <c r="AU6" s="53">
        <v>1.8</v>
      </c>
      <c r="AV6" s="54">
        <f>AS6/$AR6*1000</f>
        <v>1166.6666666666667</v>
      </c>
      <c r="AW6" s="54">
        <f>AT6/$AR6*1000</f>
        <v>1250</v>
      </c>
      <c r="AX6" s="54">
        <f>AU6/$AR6*1000</f>
        <v>1500</v>
      </c>
    </row>
    <row r="7" spans="1:50" x14ac:dyDescent="0.45">
      <c r="AP7" s="154"/>
      <c r="AQ7" s="52" t="s">
        <v>508</v>
      </c>
      <c r="AR7" s="52">
        <v>4.7</v>
      </c>
      <c r="AS7" s="52">
        <v>2</v>
      </c>
      <c r="AT7" s="53">
        <v>2.2000000000000002</v>
      </c>
      <c r="AU7" s="53">
        <v>2.7</v>
      </c>
      <c r="AV7" s="54">
        <f t="shared" ref="AV7:AV11" si="0">AS7/$AR7*1000</f>
        <v>425.531914893617</v>
      </c>
      <c r="AW7" s="54">
        <f t="shared" ref="AW7:AW11" si="1">AT7/$AR7*1000</f>
        <v>468.08510638297872</v>
      </c>
      <c r="AX7" s="54">
        <f t="shared" ref="AX7:AX11" si="2">AU7/$AR7*1000</f>
        <v>574.468085106383</v>
      </c>
    </row>
    <row r="8" spans="1:50" x14ac:dyDescent="0.45">
      <c r="AP8" s="154"/>
      <c r="AQ8" s="52" t="s">
        <v>509</v>
      </c>
      <c r="AR8" s="52">
        <v>13</v>
      </c>
      <c r="AS8" s="52">
        <v>2.5</v>
      </c>
      <c r="AT8" s="53">
        <v>2.8</v>
      </c>
      <c r="AU8" s="53">
        <v>3.4</v>
      </c>
      <c r="AV8" s="54">
        <f t="shared" si="0"/>
        <v>192.30769230769232</v>
      </c>
      <c r="AW8" s="54">
        <f t="shared" si="1"/>
        <v>215.38461538461536</v>
      </c>
      <c r="AX8" s="54">
        <f t="shared" si="2"/>
        <v>261.53846153846155</v>
      </c>
    </row>
    <row r="9" spans="1:50" x14ac:dyDescent="0.45">
      <c r="AP9" s="155" t="s">
        <v>505</v>
      </c>
      <c r="AQ9" s="49" t="s">
        <v>507</v>
      </c>
      <c r="AR9" s="49">
        <v>1.2</v>
      </c>
      <c r="AS9" s="49">
        <v>0.2</v>
      </c>
      <c r="AT9" s="50">
        <v>0.3</v>
      </c>
      <c r="AU9" s="50">
        <v>0.5</v>
      </c>
      <c r="AV9" s="51">
        <f t="shared" si="0"/>
        <v>166.66666666666669</v>
      </c>
      <c r="AW9" s="51">
        <f t="shared" si="1"/>
        <v>250</v>
      </c>
      <c r="AX9" s="51">
        <f t="shared" si="2"/>
        <v>416.66666666666669</v>
      </c>
    </row>
    <row r="10" spans="1:50" x14ac:dyDescent="0.45">
      <c r="AP10" s="155"/>
      <c r="AQ10" s="49" t="s">
        <v>508</v>
      </c>
      <c r="AR10" s="49">
        <v>3.6</v>
      </c>
      <c r="AS10" s="49">
        <v>0.2</v>
      </c>
      <c r="AT10" s="50">
        <v>0.4</v>
      </c>
      <c r="AU10" s="50">
        <v>0.5</v>
      </c>
      <c r="AV10" s="51">
        <f t="shared" si="0"/>
        <v>55.555555555555557</v>
      </c>
      <c r="AW10" s="51">
        <f t="shared" si="1"/>
        <v>111.11111111111111</v>
      </c>
      <c r="AX10" s="51">
        <f t="shared" si="2"/>
        <v>138.88888888888889</v>
      </c>
    </row>
    <row r="11" spans="1:50" x14ac:dyDescent="0.45">
      <c r="AP11" s="155"/>
      <c r="AQ11" s="49" t="s">
        <v>509</v>
      </c>
      <c r="AR11" s="49">
        <v>13</v>
      </c>
      <c r="AS11" s="49">
        <v>0.3</v>
      </c>
      <c r="AT11" s="50">
        <v>0.5</v>
      </c>
      <c r="AU11" s="50">
        <v>0.6</v>
      </c>
      <c r="AV11" s="51">
        <f t="shared" si="0"/>
        <v>23.076923076923073</v>
      </c>
      <c r="AW11" s="51">
        <f t="shared" si="1"/>
        <v>38.461538461538467</v>
      </c>
      <c r="AX11" s="51">
        <f t="shared" si="2"/>
        <v>46.153846153846146</v>
      </c>
    </row>
    <row r="12" spans="1:50" x14ac:dyDescent="0.45">
      <c r="AQ12" s="44"/>
      <c r="AR12" s="48"/>
      <c r="AT12" s="48"/>
      <c r="AU12" s="48"/>
      <c r="AV12" s="153" t="s">
        <v>514</v>
      </c>
      <c r="AW12" s="153"/>
      <c r="AX12" s="153"/>
    </row>
    <row r="13" spans="1:50" x14ac:dyDescent="0.45">
      <c r="AP13" s="55" t="s">
        <v>504</v>
      </c>
      <c r="AQ13" s="52" t="s">
        <v>512</v>
      </c>
      <c r="AR13" s="52" t="s">
        <v>513</v>
      </c>
      <c r="AS13" s="56"/>
      <c r="AT13" s="57"/>
      <c r="AU13" s="57"/>
      <c r="AV13" s="54">
        <f>AVERAGE(AV6:AV8)</f>
        <v>594.83542462265871</v>
      </c>
      <c r="AW13" s="54">
        <f>AVERAGE(AW6:AW8)</f>
        <v>644.48990725586464</v>
      </c>
      <c r="AX13" s="54">
        <f>AVERAGE(AX6:AX8)</f>
        <v>778.66884888161485</v>
      </c>
    </row>
    <row r="14" spans="1:50" x14ac:dyDescent="0.45">
      <c r="AP14" s="58" t="s">
        <v>505</v>
      </c>
      <c r="AQ14" s="49" t="s">
        <v>512</v>
      </c>
      <c r="AR14" s="49" t="s">
        <v>513</v>
      </c>
      <c r="AS14" s="59"/>
      <c r="AT14" s="60"/>
      <c r="AU14" s="60"/>
      <c r="AV14" s="51">
        <f>AVERAGE(AV9:AV11)</f>
        <v>81.76638176638177</v>
      </c>
      <c r="AW14" s="51">
        <f>AVERAGE(AW9:AW11)</f>
        <v>133.19088319088317</v>
      </c>
      <c r="AX14" s="51">
        <f>AVERAGE(AX9:AX11)</f>
        <v>200.56980056980058</v>
      </c>
    </row>
    <row r="17" spans="2:48" x14ac:dyDescent="0.45">
      <c r="AV17" t="s">
        <v>524</v>
      </c>
    </row>
    <row r="27" spans="2:48" x14ac:dyDescent="0.45">
      <c r="B27" s="10" t="s">
        <v>48</v>
      </c>
    </row>
    <row r="28" spans="2:48" x14ac:dyDescent="0.45">
      <c r="B28" s="7"/>
      <c r="C28" s="7"/>
      <c r="D28" s="7" t="s">
        <v>36</v>
      </c>
      <c r="E28" s="7"/>
      <c r="F28" s="7"/>
    </row>
    <row r="29" spans="2:48" x14ac:dyDescent="0.45">
      <c r="B29" s="7"/>
      <c r="C29" s="7"/>
      <c r="D29" s="8" t="s">
        <v>34</v>
      </c>
      <c r="E29" s="8" t="s">
        <v>33</v>
      </c>
      <c r="F29" s="8" t="s">
        <v>39</v>
      </c>
    </row>
    <row r="30" spans="2:48" x14ac:dyDescent="0.45">
      <c r="B30" s="7" t="s">
        <v>37</v>
      </c>
      <c r="C30" s="7" t="s">
        <v>40</v>
      </c>
      <c r="D30" s="9">
        <f>1.2/20</f>
        <v>0.06</v>
      </c>
      <c r="E30" s="9">
        <f>4.7/36</f>
        <v>0.13055555555555556</v>
      </c>
      <c r="F30" s="9">
        <f>13/48</f>
        <v>0.27083333333333331</v>
      </c>
    </row>
    <row r="31" spans="2:48" x14ac:dyDescent="0.45">
      <c r="B31" s="7" t="s">
        <v>37</v>
      </c>
      <c r="C31" s="7" t="s">
        <v>41</v>
      </c>
      <c r="D31" s="9">
        <f>11.3/20</f>
        <v>0.56500000000000006</v>
      </c>
      <c r="E31" s="9">
        <f>16.5/36</f>
        <v>0.45833333333333331</v>
      </c>
      <c r="F31" s="9">
        <f>21/48</f>
        <v>0.4375</v>
      </c>
    </row>
    <row r="32" spans="2:48" x14ac:dyDescent="0.45">
      <c r="B32" s="7" t="s">
        <v>37</v>
      </c>
      <c r="C32" s="7" t="s">
        <v>42</v>
      </c>
      <c r="D32" s="9">
        <f>D31/D30</f>
        <v>9.4166666666666679</v>
      </c>
      <c r="E32" s="9">
        <f>E31/E30</f>
        <v>3.5106382978723403</v>
      </c>
      <c r="F32" s="9">
        <f t="shared" ref="F32" si="3">F31/F30</f>
        <v>1.6153846153846154</v>
      </c>
      <c r="O32" t="s">
        <v>46</v>
      </c>
    </row>
    <row r="33" spans="1:44" x14ac:dyDescent="0.45">
      <c r="B33" s="7" t="s">
        <v>38</v>
      </c>
      <c r="C33" s="7" t="s">
        <v>40</v>
      </c>
      <c r="D33" s="9">
        <f>1.2/20</f>
        <v>0.06</v>
      </c>
      <c r="E33" s="9">
        <f>3.6/36</f>
        <v>0.1</v>
      </c>
      <c r="F33" s="9">
        <f>13/48</f>
        <v>0.27083333333333331</v>
      </c>
    </row>
    <row r="34" spans="1:44" x14ac:dyDescent="0.45">
      <c r="B34" s="7" t="s">
        <v>38</v>
      </c>
      <c r="C34" s="7" t="s">
        <v>41</v>
      </c>
      <c r="D34" s="9">
        <f>2.3/20</f>
        <v>0.11499999999999999</v>
      </c>
      <c r="E34" s="9">
        <f>3/36</f>
        <v>8.3333333333333329E-2</v>
      </c>
      <c r="F34" s="9">
        <f>3.8/48</f>
        <v>7.9166666666666663E-2</v>
      </c>
      <c r="O34" t="s">
        <v>47</v>
      </c>
    </row>
    <row r="35" spans="1:44" x14ac:dyDescent="0.45">
      <c r="B35" s="7" t="s">
        <v>38</v>
      </c>
      <c r="C35" s="7" t="s">
        <v>42</v>
      </c>
      <c r="D35" s="9">
        <f>D34/D33</f>
        <v>1.9166666666666665</v>
      </c>
      <c r="E35" s="9">
        <f t="shared" ref="E35:F35" si="4">E34/E33</f>
        <v>0.83333333333333326</v>
      </c>
      <c r="F35" s="9">
        <f t="shared" si="4"/>
        <v>0.29230769230769232</v>
      </c>
      <c r="AP35" t="s">
        <v>1124</v>
      </c>
      <c r="AQ35" t="s">
        <v>1125</v>
      </c>
      <c r="AR35" t="s">
        <v>1126</v>
      </c>
    </row>
    <row r="36" spans="1:44" x14ac:dyDescent="0.45">
      <c r="AP36" t="s">
        <v>510</v>
      </c>
      <c r="AQ36" t="s">
        <v>1127</v>
      </c>
      <c r="AR36" t="s">
        <v>511</v>
      </c>
    </row>
    <row r="37" spans="1:44" x14ac:dyDescent="0.45">
      <c r="B37" t="s">
        <v>43</v>
      </c>
      <c r="C37" s="11" t="s">
        <v>62</v>
      </c>
      <c r="E37" s="11" t="s">
        <v>65</v>
      </c>
      <c r="AO37" t="s">
        <v>504</v>
      </c>
      <c r="AP37">
        <v>4.7</v>
      </c>
      <c r="AQ37" s="2">
        <v>644489.90725586459</v>
      </c>
      <c r="AR37" s="2">
        <v>55485.498108448926</v>
      </c>
    </row>
    <row r="38" spans="1:44" x14ac:dyDescent="0.45">
      <c r="B38" t="s">
        <v>44</v>
      </c>
      <c r="C38" t="s">
        <v>63</v>
      </c>
      <c r="E38" t="s">
        <v>66</v>
      </c>
      <c r="AO38" t="s">
        <v>1123</v>
      </c>
      <c r="AP38">
        <v>3.6</v>
      </c>
      <c r="AQ38" s="2">
        <v>133190.88319088318</v>
      </c>
      <c r="AR38" s="2">
        <v>55485.498108448926</v>
      </c>
    </row>
    <row r="39" spans="1:44" x14ac:dyDescent="0.45">
      <c r="B39" s="7" t="s">
        <v>49</v>
      </c>
    </row>
    <row r="40" spans="1:44" x14ac:dyDescent="0.45">
      <c r="A40" s="153" t="s">
        <v>58</v>
      </c>
      <c r="B40" t="s">
        <v>56</v>
      </c>
      <c r="C40" t="s">
        <v>45</v>
      </c>
      <c r="D40" t="s">
        <v>55</v>
      </c>
      <c r="E40" t="s">
        <v>51</v>
      </c>
      <c r="F40" t="s">
        <v>52</v>
      </c>
    </row>
    <row r="41" spans="1:44" x14ac:dyDescent="0.45">
      <c r="A41" s="153"/>
      <c r="B41">
        <v>2030</v>
      </c>
      <c r="C41">
        <f>16.5*300</f>
        <v>4950</v>
      </c>
      <c r="D41" t="s">
        <v>50</v>
      </c>
      <c r="E41" t="s">
        <v>53</v>
      </c>
    </row>
    <row r="42" spans="1:44" x14ac:dyDescent="0.45">
      <c r="A42" s="153"/>
      <c r="B42">
        <v>2050</v>
      </c>
      <c r="C42" s="2">
        <f>16.5*300</f>
        <v>4950</v>
      </c>
      <c r="D42">
        <f>3*300</f>
        <v>900</v>
      </c>
      <c r="E42" t="s">
        <v>53</v>
      </c>
      <c r="F42" t="s">
        <v>54</v>
      </c>
    </row>
    <row r="43" spans="1:44" x14ac:dyDescent="0.45">
      <c r="A43" s="153"/>
      <c r="B43" t="s">
        <v>57</v>
      </c>
    </row>
    <row r="44" spans="1:44" x14ac:dyDescent="0.45">
      <c r="A44" s="153"/>
      <c r="B44">
        <v>2030</v>
      </c>
      <c r="C44" s="6">
        <f>C41/7.45</f>
        <v>664.42953020134223</v>
      </c>
    </row>
    <row r="45" spans="1:44" x14ac:dyDescent="0.45">
      <c r="A45" s="153"/>
      <c r="B45">
        <v>2050</v>
      </c>
      <c r="C45" s="6">
        <f>C42/7.45</f>
        <v>664.42953020134223</v>
      </c>
      <c r="D45" s="6">
        <f>D42/7.45</f>
        <v>120.80536912751677</v>
      </c>
      <c r="V45" t="s">
        <v>498</v>
      </c>
    </row>
    <row r="46" spans="1:44" x14ac:dyDescent="0.45">
      <c r="A46" s="153" t="s">
        <v>59</v>
      </c>
      <c r="B46" t="s">
        <v>56</v>
      </c>
      <c r="D46" t="s">
        <v>55</v>
      </c>
      <c r="E46" t="s">
        <v>51</v>
      </c>
      <c r="F46" t="s">
        <v>52</v>
      </c>
      <c r="V46" s="151" t="s">
        <v>499</v>
      </c>
      <c r="W46" s="151" t="s">
        <v>530</v>
      </c>
      <c r="X46" s="44" t="s">
        <v>174</v>
      </c>
      <c r="Y46" s="2">
        <f>1.7*1000000000/(27200+12450)</f>
        <v>42875.157629255991</v>
      </c>
    </row>
    <row r="47" spans="1:44" x14ac:dyDescent="0.45">
      <c r="A47" s="153"/>
      <c r="B47">
        <v>2030</v>
      </c>
      <c r="D47">
        <f>3*109</f>
        <v>327</v>
      </c>
      <c r="E47" t="s">
        <v>53</v>
      </c>
      <c r="V47" s="151"/>
      <c r="W47" s="151"/>
      <c r="X47" s="44" t="s">
        <v>500</v>
      </c>
      <c r="Y47" s="2">
        <f>2.2*1000000000/(27200+12450)</f>
        <v>55485.498108448926</v>
      </c>
    </row>
    <row r="48" spans="1:44" x14ac:dyDescent="0.45">
      <c r="A48" s="153"/>
      <c r="B48">
        <v>2050</v>
      </c>
      <c r="C48" s="2"/>
      <c r="D48" s="2">
        <f>3*109</f>
        <v>327</v>
      </c>
      <c r="E48" t="s">
        <v>53</v>
      </c>
      <c r="F48" t="s">
        <v>54</v>
      </c>
      <c r="V48" s="151"/>
      <c r="W48" s="151"/>
      <c r="X48" s="44" t="s">
        <v>1082</v>
      </c>
      <c r="Y48" s="2">
        <f>3.8*1000000000/(27200+12450)</f>
        <v>95838.587641866325</v>
      </c>
    </row>
    <row r="49" spans="1:25" x14ac:dyDescent="0.45">
      <c r="A49" s="153"/>
      <c r="B49" t="s">
        <v>57</v>
      </c>
      <c r="V49" s="151" t="s">
        <v>502</v>
      </c>
      <c r="W49" s="152" t="s">
        <v>529</v>
      </c>
      <c r="X49" s="44" t="s">
        <v>174</v>
      </c>
      <c r="Y49" s="2">
        <f>AV13*1000</f>
        <v>594835.42462265876</v>
      </c>
    </row>
    <row r="50" spans="1:25" x14ac:dyDescent="0.45">
      <c r="A50" s="153"/>
      <c r="B50">
        <v>2030</v>
      </c>
      <c r="C50" s="6"/>
      <c r="D50" s="6">
        <f>D47/7.45</f>
        <v>43.892617449664428</v>
      </c>
      <c r="V50" s="151"/>
      <c r="W50" s="152"/>
      <c r="X50" s="44" t="s">
        <v>500</v>
      </c>
      <c r="Y50" s="2">
        <f>AW13*1000</f>
        <v>644489.90725586459</v>
      </c>
    </row>
    <row r="51" spans="1:25" x14ac:dyDescent="0.45">
      <c r="A51" s="153"/>
      <c r="B51">
        <v>2050</v>
      </c>
      <c r="C51" s="6"/>
      <c r="D51" s="6">
        <f>D48/7.45</f>
        <v>43.892617449664428</v>
      </c>
      <c r="V51" s="151"/>
      <c r="W51" s="152"/>
      <c r="X51" s="44" t="s">
        <v>1082</v>
      </c>
      <c r="Y51" s="2">
        <f>AX13*1000</f>
        <v>778668.84888161486</v>
      </c>
    </row>
    <row r="52" spans="1:25" x14ac:dyDescent="0.45">
      <c r="A52" s="153" t="s">
        <v>61</v>
      </c>
      <c r="B52" t="s">
        <v>56</v>
      </c>
      <c r="V52" s="151" t="s">
        <v>503</v>
      </c>
      <c r="W52" s="152" t="s">
        <v>529</v>
      </c>
      <c r="X52" s="44" t="s">
        <v>174</v>
      </c>
      <c r="Y52" s="2">
        <f>AV14*1000</f>
        <v>81766.381766381775</v>
      </c>
    </row>
    <row r="53" spans="1:25" x14ac:dyDescent="0.45">
      <c r="A53" s="153"/>
      <c r="B53">
        <v>2030</v>
      </c>
      <c r="V53" s="151"/>
      <c r="W53" s="152"/>
      <c r="X53" s="44" t="s">
        <v>500</v>
      </c>
      <c r="Y53" s="2">
        <f>AW14*1000</f>
        <v>133190.88319088318</v>
      </c>
    </row>
    <row r="54" spans="1:25" x14ac:dyDescent="0.45">
      <c r="A54" s="153"/>
      <c r="B54">
        <v>2050</v>
      </c>
      <c r="D54">
        <f>3*546</f>
        <v>1638</v>
      </c>
      <c r="V54" s="151"/>
      <c r="W54" s="152"/>
      <c r="X54" s="137" t="s">
        <v>1082</v>
      </c>
      <c r="Y54" s="2">
        <f>AX14*1000</f>
        <v>200569.80056980057</v>
      </c>
    </row>
    <row r="55" spans="1:25" x14ac:dyDescent="0.45">
      <c r="A55" s="153"/>
      <c r="B55" t="s">
        <v>64</v>
      </c>
    </row>
    <row r="56" spans="1:25" x14ac:dyDescent="0.45">
      <c r="A56" s="153"/>
      <c r="B56">
        <v>2030</v>
      </c>
    </row>
    <row r="57" spans="1:25" x14ac:dyDescent="0.45">
      <c r="A57" s="153"/>
      <c r="B57">
        <v>2050</v>
      </c>
      <c r="D57">
        <f>D54/7.5*1000000</f>
        <v>218400000</v>
      </c>
    </row>
    <row r="58" spans="1:25" x14ac:dyDescent="0.45">
      <c r="A58" s="153" t="s">
        <v>61</v>
      </c>
      <c r="B58" t="s">
        <v>56</v>
      </c>
    </row>
    <row r="59" spans="1:25" x14ac:dyDescent="0.45">
      <c r="A59" s="153"/>
      <c r="B59">
        <v>2030</v>
      </c>
    </row>
    <row r="60" spans="1:25" x14ac:dyDescent="0.45">
      <c r="A60" s="153"/>
      <c r="B60">
        <v>2050</v>
      </c>
      <c r="D60">
        <f>3*333</f>
        <v>999</v>
      </c>
    </row>
    <row r="61" spans="1:25" x14ac:dyDescent="0.45">
      <c r="A61" s="153"/>
      <c r="B61" t="s">
        <v>64</v>
      </c>
    </row>
    <row r="62" spans="1:25" x14ac:dyDescent="0.45">
      <c r="A62" s="153"/>
      <c r="B62">
        <v>2030</v>
      </c>
    </row>
    <row r="63" spans="1:25" x14ac:dyDescent="0.45">
      <c r="A63" s="153"/>
      <c r="B63">
        <v>2050</v>
      </c>
      <c r="D63">
        <f>D60/7.5*1000000</f>
        <v>133199999.99999999</v>
      </c>
    </row>
    <row r="70" spans="2:21" x14ac:dyDescent="0.45">
      <c r="B70" t="s">
        <v>486</v>
      </c>
      <c r="C70" t="s">
        <v>487</v>
      </c>
      <c r="D70" t="s">
        <v>488</v>
      </c>
    </row>
    <row r="71" spans="2:21" x14ac:dyDescent="0.45">
      <c r="B71" t="s">
        <v>23</v>
      </c>
      <c r="C71">
        <f>0.04*(1+0.04)^50 / ((1+0.04)^50 - 1)</f>
        <v>4.6550200449541529E-2</v>
      </c>
    </row>
    <row r="72" spans="2:21" x14ac:dyDescent="0.45">
      <c r="B72" t="s">
        <v>515</v>
      </c>
      <c r="C72" t="s">
        <v>1082</v>
      </c>
    </row>
    <row r="73" spans="2:21" x14ac:dyDescent="0.45">
      <c r="B73" t="s">
        <v>536</v>
      </c>
      <c r="C73" s="3">
        <v>0.94553706505294999</v>
      </c>
    </row>
    <row r="77" spans="2:21" x14ac:dyDescent="0.45">
      <c r="C77" t="s">
        <v>497</v>
      </c>
      <c r="D77" s="61">
        <v>306.01727450092397</v>
      </c>
      <c r="E77" s="61"/>
      <c r="F77" t="s">
        <v>236</v>
      </c>
      <c r="H77" t="s">
        <v>497</v>
      </c>
      <c r="I77" s="61">
        <v>553.47744237100096</v>
      </c>
      <c r="J77" s="61"/>
      <c r="K77" t="s">
        <v>236</v>
      </c>
    </row>
    <row r="78" spans="2:21" x14ac:dyDescent="0.45">
      <c r="C78" s="156" t="s">
        <v>495</v>
      </c>
      <c r="D78" s="156"/>
      <c r="E78" s="156"/>
      <c r="F78" s="156"/>
      <c r="H78" s="156" t="s">
        <v>496</v>
      </c>
      <c r="I78" s="156"/>
      <c r="J78" s="156"/>
      <c r="K78" s="156"/>
      <c r="M78" s="153" t="s">
        <v>493</v>
      </c>
      <c r="N78" s="153"/>
      <c r="O78" s="153"/>
      <c r="P78" s="153"/>
      <c r="R78" s="153" t="s">
        <v>494</v>
      </c>
      <c r="S78" s="153"/>
      <c r="T78" s="153"/>
      <c r="U78" s="153"/>
    </row>
    <row r="79" spans="2:21" x14ac:dyDescent="0.45">
      <c r="B79" s="45" t="s">
        <v>5</v>
      </c>
      <c r="C79" s="45" t="s">
        <v>489</v>
      </c>
      <c r="D79" s="45" t="s">
        <v>490</v>
      </c>
      <c r="E79" s="45" t="s">
        <v>491</v>
      </c>
      <c r="F79" s="45" t="s">
        <v>492</v>
      </c>
      <c r="H79" s="45" t="s">
        <v>489</v>
      </c>
      <c r="I79" s="45" t="s">
        <v>490</v>
      </c>
      <c r="J79" s="45" t="s">
        <v>491</v>
      </c>
      <c r="K79" s="45" t="s">
        <v>492</v>
      </c>
      <c r="M79" t="s">
        <v>489</v>
      </c>
      <c r="N79" t="s">
        <v>490</v>
      </c>
      <c r="O79" t="s">
        <v>491</v>
      </c>
      <c r="P79" t="s">
        <v>492</v>
      </c>
      <c r="R79" t="s">
        <v>489</v>
      </c>
      <c r="S79" t="s">
        <v>490</v>
      </c>
      <c r="T79" t="s">
        <v>491</v>
      </c>
      <c r="U79" t="s">
        <v>492</v>
      </c>
    </row>
    <row r="80" spans="2:21" x14ac:dyDescent="0.45">
      <c r="B80" s="45">
        <v>0</v>
      </c>
      <c r="C80" s="62">
        <f>VLOOKUP(C72,X49:Y51,2)*D77</f>
        <v>238286118.87352362</v>
      </c>
      <c r="D80" s="46">
        <f>C80/(1+0.04)^B80</f>
        <v>238286118.87352362</v>
      </c>
      <c r="E80" s="45"/>
      <c r="F80" s="45"/>
      <c r="H80" s="63">
        <f>VLOOKUP(C72,X52:Y54,2)*I77</f>
        <v>111010860.23623495</v>
      </c>
      <c r="I80" s="47">
        <f>H80/(1+0.04)^$B80</f>
        <v>111010860.23623495</v>
      </c>
      <c r="J80" s="47"/>
      <c r="K80" s="45"/>
      <c r="M80">
        <v>133200000</v>
      </c>
      <c r="N80" s="2">
        <f>M80/(1+0.04)^$B80</f>
        <v>133200000</v>
      </c>
      <c r="R80">
        <v>664430000</v>
      </c>
      <c r="S80" s="2">
        <f>R80/(1+0.04)^$B80</f>
        <v>664430000</v>
      </c>
    </row>
    <row r="81" spans="2:21" x14ac:dyDescent="0.45">
      <c r="B81" s="45">
        <v>1</v>
      </c>
      <c r="C81" s="134">
        <f>VLOOKUP($C$72,$X$46:$Y$48,2)*$D$77</f>
        <v>29328263.382181868</v>
      </c>
      <c r="D81" s="46">
        <f>C81/(1+0.04)^B81</f>
        <v>28200253.252097949</v>
      </c>
      <c r="E81" s="47">
        <f>$C$71*SUM($D$80:$D$130)</f>
        <v>40420529.980087645</v>
      </c>
      <c r="F81" s="47">
        <f>E81/(1+0.04)^B81</f>
        <v>38865894.211622737</v>
      </c>
      <c r="H81" s="135">
        <f>VLOOKUP($C$72,$X$46:$Y$48,2)*$I$77</f>
        <v>53044496.368469194</v>
      </c>
      <c r="I81" s="47">
        <f>H81/(1+0.04)^B81</f>
        <v>51004323.431220375</v>
      </c>
      <c r="J81" s="47">
        <f>$C$71*SUM($I$80:$I$130)</f>
        <v>58212074.164541923</v>
      </c>
      <c r="K81" s="47">
        <f>J81/(1+0.04)^B81</f>
        <v>55973148.235136464</v>
      </c>
      <c r="M81" s="2">
        <f>H81</f>
        <v>53044496.368469194</v>
      </c>
      <c r="N81" s="2">
        <f>M81/(1+0.04)^$B81</f>
        <v>51004323.431220375</v>
      </c>
      <c r="O81">
        <f t="shared" ref="O81:O112" si="5">$C$71*SUM($N$80:$N$130)</f>
        <v>59244983.068348095</v>
      </c>
      <c r="P81" s="2">
        <f>O81/(1+0.04)^$B81</f>
        <v>56966329.873411626</v>
      </c>
      <c r="R81" s="2">
        <f>M81</f>
        <v>53044496.368469194</v>
      </c>
      <c r="S81" s="2">
        <f t="shared" ref="S81:U130" si="6">R81/(1+0.04)^$B81</f>
        <v>51004323.431220375</v>
      </c>
      <c r="T81">
        <f t="shared" ref="T81:T112" si="7">$C$71*SUM($S$80:$S$130)</f>
        <v>83973846.053158045</v>
      </c>
      <c r="U81" s="2">
        <f t="shared" si="6"/>
        <v>80744082.743421197</v>
      </c>
    </row>
    <row r="82" spans="2:21" x14ac:dyDescent="0.45">
      <c r="B82" s="45">
        <v>2</v>
      </c>
      <c r="C82" s="47">
        <f t="shared" ref="C82:C130" si="8">VLOOKUP($C$72,$X$46:$Y$48,2)*$D$77</f>
        <v>29328263.382181868</v>
      </c>
      <c r="D82" s="46">
        <f t="shared" ref="D82:D130" si="9">C82/(1+0.04)^B82</f>
        <v>27115628.127017256</v>
      </c>
      <c r="E82" s="47">
        <f t="shared" ref="E82:E112" si="10">$C$71*SUM($D$80:$D$130)</f>
        <v>40420529.980087645</v>
      </c>
      <c r="F82" s="47">
        <f t="shared" ref="F82:F130" si="11">E82/(1+0.04)^B82</f>
        <v>37371052.126560315</v>
      </c>
      <c r="H82" s="47">
        <f t="shared" ref="H82:H130" si="12">VLOOKUP($C$72,$X$46:$Y$48,2)*$I$77</f>
        <v>53044496.368469194</v>
      </c>
      <c r="I82" s="47">
        <f>H82/(1+0.04)^B82</f>
        <v>49042618.683865741</v>
      </c>
      <c r="J82" s="47">
        <f>$C$71*SUM($I$80:$I$130)</f>
        <v>58212074.164541923</v>
      </c>
      <c r="K82" s="47">
        <f t="shared" ref="K82:K130" si="13">J82/(1+0.04)^B82</f>
        <v>53820334.841477364</v>
      </c>
      <c r="M82" s="2">
        <f t="shared" ref="M82:M130" si="14">H82</f>
        <v>53044496.368469194</v>
      </c>
      <c r="N82" s="2">
        <f t="shared" ref="N82:N130" si="15">M82/(1+0.04)^$B82</f>
        <v>49042618.683865741</v>
      </c>
      <c r="O82">
        <f t="shared" si="5"/>
        <v>59244983.068348095</v>
      </c>
      <c r="P82" s="2">
        <f>O82/(1+0.04)^$B82</f>
        <v>54775317.185972713</v>
      </c>
      <c r="R82" s="2">
        <f t="shared" ref="R82:R130" si="16">M82</f>
        <v>53044496.368469194</v>
      </c>
      <c r="S82" s="2">
        <f t="shared" si="6"/>
        <v>49042618.683865741</v>
      </c>
      <c r="T82">
        <f t="shared" si="7"/>
        <v>83973846.053158045</v>
      </c>
      <c r="U82" s="2">
        <f t="shared" ref="U82" si="17">T82/(1+0.04)^$B82</f>
        <v>77638541.099443451</v>
      </c>
    </row>
    <row r="83" spans="2:21" x14ac:dyDescent="0.45">
      <c r="B83" s="45">
        <v>3</v>
      </c>
      <c r="C83" s="47">
        <f t="shared" si="8"/>
        <v>29328263.382181868</v>
      </c>
      <c r="D83" s="46">
        <f t="shared" si="9"/>
        <v>26072719.352901209</v>
      </c>
      <c r="E83" s="47">
        <f t="shared" si="10"/>
        <v>40420529.980087645</v>
      </c>
      <c r="F83" s="47">
        <f t="shared" si="11"/>
        <v>35933703.967846461</v>
      </c>
      <c r="H83" s="47">
        <f t="shared" si="12"/>
        <v>53044496.368469194</v>
      </c>
      <c r="I83" s="47">
        <f>H83/(1+0.04)^B83</f>
        <v>47156364.119101681</v>
      </c>
      <c r="J83" s="47">
        <f t="shared" ref="J83:J112" si="18">$C$71*SUM($I$80:$I$130)</f>
        <v>58212074.164541923</v>
      </c>
      <c r="K83" s="47">
        <f t="shared" si="13"/>
        <v>51750321.962959006</v>
      </c>
      <c r="M83" s="2">
        <f t="shared" si="14"/>
        <v>53044496.368469194</v>
      </c>
      <c r="N83" s="2">
        <f t="shared" si="15"/>
        <v>47156364.119101681</v>
      </c>
      <c r="O83">
        <f t="shared" si="5"/>
        <v>59244983.068348095</v>
      </c>
      <c r="P83" s="2">
        <f>O83/(1+0.04)^$B83</f>
        <v>52668574.217281461</v>
      </c>
      <c r="R83" s="2">
        <f t="shared" si="16"/>
        <v>53044496.368469194</v>
      </c>
      <c r="S83" s="2">
        <f t="shared" si="6"/>
        <v>47156364.119101681</v>
      </c>
      <c r="T83">
        <f t="shared" si="7"/>
        <v>83973846.053158045</v>
      </c>
      <c r="U83" s="2">
        <f t="shared" ref="U83" si="19">T83/(1+0.04)^$B83</f>
        <v>74652443.364849478</v>
      </c>
    </row>
    <row r="84" spans="2:21" x14ac:dyDescent="0.45">
      <c r="B84" s="45">
        <v>4</v>
      </c>
      <c r="C84" s="47">
        <f t="shared" si="8"/>
        <v>29328263.382181868</v>
      </c>
      <c r="D84" s="46">
        <f t="shared" si="9"/>
        <v>25069922.4547127</v>
      </c>
      <c r="E84" s="47">
        <f t="shared" si="10"/>
        <v>40420529.980087645</v>
      </c>
      <c r="F84" s="47">
        <f t="shared" si="11"/>
        <v>34551638.430621594</v>
      </c>
      <c r="H84" s="47">
        <f t="shared" si="12"/>
        <v>53044496.368469194</v>
      </c>
      <c r="I84" s="47">
        <f t="shared" ref="I84:I130" si="20">H84/(1+0.04)^B84</f>
        <v>45342657.806828529</v>
      </c>
      <c r="J84" s="47">
        <f t="shared" si="18"/>
        <v>58212074.164541923</v>
      </c>
      <c r="K84" s="47">
        <f t="shared" si="13"/>
        <v>49759924.964383654</v>
      </c>
      <c r="M84" s="2">
        <f t="shared" si="14"/>
        <v>53044496.368469194</v>
      </c>
      <c r="N84" s="2">
        <f t="shared" si="15"/>
        <v>45342657.806828529</v>
      </c>
      <c r="O84">
        <f t="shared" si="5"/>
        <v>59244983.068348095</v>
      </c>
      <c r="P84" s="2">
        <f>O84/(1+0.04)^$B84</f>
        <v>50642859.824309088</v>
      </c>
      <c r="R84" s="2">
        <f t="shared" si="16"/>
        <v>53044496.368469194</v>
      </c>
      <c r="S84" s="2">
        <f t="shared" si="6"/>
        <v>45342657.806828529</v>
      </c>
      <c r="T84">
        <f t="shared" si="7"/>
        <v>83973846.053158045</v>
      </c>
      <c r="U84" s="2">
        <f t="shared" ref="U84" si="21">T84/(1+0.04)^$B84</f>
        <v>71781195.543124482</v>
      </c>
    </row>
    <row r="85" spans="2:21" x14ac:dyDescent="0.45">
      <c r="B85" s="45">
        <v>5</v>
      </c>
      <c r="C85" s="47">
        <f t="shared" si="8"/>
        <v>29328263.382181868</v>
      </c>
      <c r="D85" s="46">
        <f t="shared" si="9"/>
        <v>24105694.667992976</v>
      </c>
      <c r="E85" s="47">
        <f t="shared" si="10"/>
        <v>40420529.980087645</v>
      </c>
      <c r="F85" s="47">
        <f t="shared" si="11"/>
        <v>33222729.26021307</v>
      </c>
      <c r="H85" s="47">
        <f t="shared" si="12"/>
        <v>53044496.368469194</v>
      </c>
      <c r="I85" s="47">
        <f t="shared" si="20"/>
        <v>43598709.429642811</v>
      </c>
      <c r="J85" s="47">
        <f t="shared" si="18"/>
        <v>58212074.164541923</v>
      </c>
      <c r="K85" s="47">
        <f t="shared" si="13"/>
        <v>47846081.696522735</v>
      </c>
      <c r="M85" s="2">
        <f t="shared" si="14"/>
        <v>53044496.368469194</v>
      </c>
      <c r="N85" s="2">
        <f t="shared" si="15"/>
        <v>43598709.429642811</v>
      </c>
      <c r="O85">
        <f t="shared" si="5"/>
        <v>59244983.068348095</v>
      </c>
      <c r="P85" s="2">
        <f t="shared" ref="P85:P130" si="22">O85/(1+0.04)^$B85</f>
        <v>48695057.523374118</v>
      </c>
      <c r="R85" s="2">
        <f t="shared" si="16"/>
        <v>53044496.368469194</v>
      </c>
      <c r="S85" s="2">
        <f t="shared" si="6"/>
        <v>43598709.429642811</v>
      </c>
      <c r="T85">
        <f t="shared" si="7"/>
        <v>83973846.053158045</v>
      </c>
      <c r="U85" s="2">
        <f t="shared" ref="U85" si="23">T85/(1+0.04)^$B85</f>
        <v>69020380.329927385</v>
      </c>
    </row>
    <row r="86" spans="2:21" x14ac:dyDescent="0.45">
      <c r="B86" s="45">
        <v>6</v>
      </c>
      <c r="C86" s="47">
        <f t="shared" si="8"/>
        <v>29328263.382181868</v>
      </c>
      <c r="D86" s="46">
        <f t="shared" si="9"/>
        <v>23178552.565377861</v>
      </c>
      <c r="E86" s="47">
        <f t="shared" si="10"/>
        <v>40420529.980087645</v>
      </c>
      <c r="F86" s="47">
        <f t="shared" si="11"/>
        <v>31944931.980974104</v>
      </c>
      <c r="H86" s="47">
        <f t="shared" si="12"/>
        <v>53044496.368469194</v>
      </c>
      <c r="I86" s="47">
        <f t="shared" si="20"/>
        <v>41921835.990041167</v>
      </c>
      <c r="J86" s="47">
        <f t="shared" si="18"/>
        <v>58212074.164541923</v>
      </c>
      <c r="K86" s="47">
        <f t="shared" si="13"/>
        <v>46005847.785118021</v>
      </c>
      <c r="M86" s="2">
        <f t="shared" si="14"/>
        <v>53044496.368469194</v>
      </c>
      <c r="N86" s="2">
        <f t="shared" si="15"/>
        <v>41921835.990041167</v>
      </c>
      <c r="O86">
        <f t="shared" si="5"/>
        <v>59244983.068348095</v>
      </c>
      <c r="P86" s="2">
        <f t="shared" si="22"/>
        <v>46822170.695552036</v>
      </c>
      <c r="R86" s="2">
        <f t="shared" si="16"/>
        <v>53044496.368469194</v>
      </c>
      <c r="S86" s="2">
        <f t="shared" si="6"/>
        <v>41921835.990041167</v>
      </c>
      <c r="T86">
        <f t="shared" si="7"/>
        <v>83973846.053158045</v>
      </c>
      <c r="U86" s="2">
        <f t="shared" ref="U86" si="24">T86/(1+0.04)^$B86</f>
        <v>66365750.317237869</v>
      </c>
    </row>
    <row r="87" spans="2:21" x14ac:dyDescent="0.45">
      <c r="B87" s="45">
        <v>7</v>
      </c>
      <c r="C87" s="47">
        <f t="shared" si="8"/>
        <v>29328263.382181868</v>
      </c>
      <c r="D87" s="46">
        <f t="shared" si="9"/>
        <v>22287069.774401791</v>
      </c>
      <c r="E87" s="47">
        <f t="shared" si="10"/>
        <v>40420529.980087645</v>
      </c>
      <c r="F87" s="47">
        <f t="shared" si="11"/>
        <v>30716280.750936642</v>
      </c>
      <c r="H87" s="47">
        <f t="shared" si="12"/>
        <v>53044496.368469194</v>
      </c>
      <c r="I87" s="47">
        <f t="shared" si="20"/>
        <v>40309457.682731897</v>
      </c>
      <c r="J87" s="47">
        <f t="shared" si="18"/>
        <v>58212074.164541923</v>
      </c>
      <c r="K87" s="47">
        <f t="shared" si="13"/>
        <v>44236392.101075023</v>
      </c>
      <c r="M87" s="2">
        <f t="shared" si="14"/>
        <v>53044496.368469194</v>
      </c>
      <c r="N87" s="2">
        <f t="shared" si="15"/>
        <v>40309457.682731897</v>
      </c>
      <c r="O87">
        <f t="shared" si="5"/>
        <v>59244983.068348095</v>
      </c>
      <c r="P87" s="2">
        <f t="shared" si="22"/>
        <v>45021317.976492345</v>
      </c>
      <c r="R87" s="2">
        <f t="shared" si="16"/>
        <v>53044496.368469194</v>
      </c>
      <c r="S87" s="2">
        <f t="shared" si="6"/>
        <v>40309457.682731897</v>
      </c>
      <c r="T87">
        <f t="shared" si="7"/>
        <v>83973846.053158045</v>
      </c>
      <c r="U87" s="2">
        <f t="shared" ref="U87" si="25">T87/(1+0.04)^$B87</f>
        <v>63813221.45888257</v>
      </c>
    </row>
    <row r="88" spans="2:21" x14ac:dyDescent="0.45">
      <c r="B88" s="45">
        <v>8</v>
      </c>
      <c r="C88" s="47">
        <f t="shared" si="8"/>
        <v>29328263.382181868</v>
      </c>
      <c r="D88" s="46">
        <f t="shared" si="9"/>
        <v>21429874.783078644</v>
      </c>
      <c r="E88" s="47">
        <f t="shared" si="10"/>
        <v>40420529.980087645</v>
      </c>
      <c r="F88" s="47">
        <f t="shared" si="11"/>
        <v>29534885.337439071</v>
      </c>
      <c r="H88" s="47">
        <f t="shared" si="12"/>
        <v>53044496.368469194</v>
      </c>
      <c r="I88" s="47">
        <f t="shared" si="20"/>
        <v>38759093.925703742</v>
      </c>
      <c r="J88" s="47">
        <f t="shared" si="18"/>
        <v>58212074.164541923</v>
      </c>
      <c r="K88" s="47">
        <f t="shared" si="13"/>
        <v>42534992.404879823</v>
      </c>
      <c r="M88" s="2">
        <f t="shared" si="14"/>
        <v>53044496.368469194</v>
      </c>
      <c r="N88" s="2">
        <f t="shared" si="15"/>
        <v>38759093.925703742</v>
      </c>
      <c r="O88">
        <f t="shared" si="5"/>
        <v>59244983.068348095</v>
      </c>
      <c r="P88" s="2">
        <f t="shared" si="22"/>
        <v>43289728.823550329</v>
      </c>
      <c r="R88" s="2">
        <f t="shared" si="16"/>
        <v>53044496.368469194</v>
      </c>
      <c r="S88" s="2">
        <f t="shared" si="6"/>
        <v>38759093.925703742</v>
      </c>
      <c r="T88">
        <f t="shared" si="7"/>
        <v>83973846.053158045</v>
      </c>
      <c r="U88" s="2">
        <f t="shared" ref="U88" si="26">T88/(1+0.04)^$B88</f>
        <v>61358866.78738708</v>
      </c>
    </row>
    <row r="89" spans="2:21" x14ac:dyDescent="0.45">
      <c r="B89" s="45">
        <v>9</v>
      </c>
      <c r="C89" s="47">
        <f t="shared" si="8"/>
        <v>29328263.382181868</v>
      </c>
      <c r="D89" s="46">
        <f t="shared" si="9"/>
        <v>20605648.829883307</v>
      </c>
      <c r="E89" s="47">
        <f t="shared" si="10"/>
        <v>40420529.980087645</v>
      </c>
      <c r="F89" s="47">
        <f t="shared" si="11"/>
        <v>28398928.209076028</v>
      </c>
      <c r="H89" s="47">
        <f t="shared" si="12"/>
        <v>53044496.368469194</v>
      </c>
      <c r="I89" s="47">
        <f t="shared" si="20"/>
        <v>37268359.543945901</v>
      </c>
      <c r="J89" s="47">
        <f t="shared" si="18"/>
        <v>58212074.164541923</v>
      </c>
      <c r="K89" s="47">
        <f t="shared" si="13"/>
        <v>40899031.158538282</v>
      </c>
      <c r="M89" s="2">
        <f t="shared" si="14"/>
        <v>53044496.368469194</v>
      </c>
      <c r="N89" s="2">
        <f t="shared" si="15"/>
        <v>37268359.543945901</v>
      </c>
      <c r="O89">
        <f t="shared" si="5"/>
        <v>59244983.068348095</v>
      </c>
      <c r="P89" s="2">
        <f t="shared" si="22"/>
        <v>41624739.253413774</v>
      </c>
      <c r="R89" s="2">
        <f t="shared" si="16"/>
        <v>53044496.368469194</v>
      </c>
      <c r="S89" s="2">
        <f t="shared" si="6"/>
        <v>37268359.543945901</v>
      </c>
      <c r="T89">
        <f t="shared" si="7"/>
        <v>83973846.053158045</v>
      </c>
      <c r="U89" s="2">
        <f t="shared" ref="U89" si="27">T89/(1+0.04)^$B89</f>
        <v>58998910.372487567</v>
      </c>
    </row>
    <row r="90" spans="2:21" x14ac:dyDescent="0.45">
      <c r="B90" s="45">
        <v>10</v>
      </c>
      <c r="C90" s="47">
        <f t="shared" si="8"/>
        <v>29328263.382181868</v>
      </c>
      <c r="D90" s="46">
        <f t="shared" si="9"/>
        <v>19813123.874887798</v>
      </c>
      <c r="E90" s="47">
        <f t="shared" si="10"/>
        <v>40420529.980087645</v>
      </c>
      <c r="F90" s="47">
        <f t="shared" si="11"/>
        <v>27306661.739496183</v>
      </c>
      <c r="H90" s="47">
        <f t="shared" si="12"/>
        <v>53044496.368469194</v>
      </c>
      <c r="I90" s="47">
        <f t="shared" si="20"/>
        <v>35834961.099947982</v>
      </c>
      <c r="J90" s="47">
        <f t="shared" si="18"/>
        <v>58212074.164541923</v>
      </c>
      <c r="K90" s="47">
        <f t="shared" si="13"/>
        <v>39325991.498594508</v>
      </c>
      <c r="M90" s="2">
        <f t="shared" si="14"/>
        <v>53044496.368469194</v>
      </c>
      <c r="N90" s="2">
        <f t="shared" si="15"/>
        <v>35834961.099947982</v>
      </c>
      <c r="O90">
        <f t="shared" si="5"/>
        <v>59244983.068348095</v>
      </c>
      <c r="P90" s="2">
        <f t="shared" si="22"/>
        <v>40023787.743667088</v>
      </c>
      <c r="R90" s="2">
        <f t="shared" si="16"/>
        <v>53044496.368469194</v>
      </c>
      <c r="S90" s="2">
        <f t="shared" si="6"/>
        <v>35834961.099947982</v>
      </c>
      <c r="T90">
        <f t="shared" si="7"/>
        <v>83973846.053158045</v>
      </c>
      <c r="U90" s="2">
        <f t="shared" ref="U90" si="28">T90/(1+0.04)^$B90</f>
        <v>56729721.512007281</v>
      </c>
    </row>
    <row r="91" spans="2:21" x14ac:dyDescent="0.45">
      <c r="B91" s="45">
        <v>11</v>
      </c>
      <c r="C91" s="47">
        <f t="shared" si="8"/>
        <v>29328263.382181868</v>
      </c>
      <c r="D91" s="46">
        <f t="shared" si="9"/>
        <v>19051080.648930576</v>
      </c>
      <c r="E91" s="47">
        <f t="shared" si="10"/>
        <v>40420529.980087645</v>
      </c>
      <c r="F91" s="47">
        <f t="shared" si="11"/>
        <v>26256405.518746331</v>
      </c>
      <c r="H91" s="47">
        <f t="shared" si="12"/>
        <v>53044496.368469194</v>
      </c>
      <c r="I91" s="47">
        <f t="shared" si="20"/>
        <v>34456693.3653346</v>
      </c>
      <c r="J91" s="47">
        <f t="shared" si="18"/>
        <v>58212074.164541923</v>
      </c>
      <c r="K91" s="47">
        <f t="shared" si="13"/>
        <v>37813453.364033185</v>
      </c>
      <c r="M91" s="2">
        <f t="shared" si="14"/>
        <v>53044496.368469194</v>
      </c>
      <c r="N91" s="2">
        <f t="shared" si="15"/>
        <v>34456693.3653346</v>
      </c>
      <c r="O91">
        <f t="shared" si="5"/>
        <v>59244983.068348095</v>
      </c>
      <c r="P91" s="2">
        <f t="shared" si="22"/>
        <v>38484411.29198759</v>
      </c>
      <c r="R91" s="2">
        <f t="shared" si="16"/>
        <v>53044496.368469194</v>
      </c>
      <c r="S91" s="2">
        <f t="shared" si="6"/>
        <v>34456693.3653346</v>
      </c>
      <c r="T91">
        <f t="shared" si="7"/>
        <v>83973846.053158045</v>
      </c>
      <c r="U91" s="2">
        <f t="shared" ref="U91" si="29">T91/(1+0.04)^$B91</f>
        <v>54547809.146160848</v>
      </c>
    </row>
    <row r="92" spans="2:21" x14ac:dyDescent="0.45">
      <c r="B92" s="45">
        <v>12</v>
      </c>
      <c r="C92" s="47">
        <f t="shared" si="8"/>
        <v>29328263.382181868</v>
      </c>
      <c r="D92" s="46">
        <f t="shared" si="9"/>
        <v>18318346.777817857</v>
      </c>
      <c r="E92" s="47">
        <f t="shared" si="10"/>
        <v>40420529.980087645</v>
      </c>
      <c r="F92" s="47">
        <f t="shared" si="11"/>
        <v>25246543.768025313</v>
      </c>
      <c r="H92" s="47">
        <f t="shared" si="12"/>
        <v>53044496.368469194</v>
      </c>
      <c r="I92" s="47">
        <f t="shared" si="20"/>
        <v>33131435.928206339</v>
      </c>
      <c r="J92" s="47">
        <f t="shared" si="18"/>
        <v>58212074.164541923</v>
      </c>
      <c r="K92" s="47">
        <f t="shared" si="13"/>
        <v>36359089.773108818</v>
      </c>
      <c r="M92" s="2">
        <f t="shared" si="14"/>
        <v>53044496.368469194</v>
      </c>
      <c r="N92" s="2">
        <f t="shared" si="15"/>
        <v>33131435.928206339</v>
      </c>
      <c r="O92">
        <f t="shared" si="5"/>
        <v>59244983.068348095</v>
      </c>
      <c r="P92" s="2">
        <f t="shared" si="22"/>
        <v>37004241.626911134</v>
      </c>
      <c r="R92" s="2">
        <f t="shared" si="16"/>
        <v>53044496.368469194</v>
      </c>
      <c r="S92" s="2">
        <f t="shared" si="6"/>
        <v>33131435.928206339</v>
      </c>
      <c r="T92">
        <f t="shared" si="7"/>
        <v>83973846.053158045</v>
      </c>
      <c r="U92" s="2">
        <f t="shared" ref="U92" si="30">T92/(1+0.04)^$B92</f>
        <v>52449816.486693114</v>
      </c>
    </row>
    <row r="93" spans="2:21" x14ac:dyDescent="0.45">
      <c r="B93" s="45">
        <v>13</v>
      </c>
      <c r="C93" s="47">
        <f t="shared" si="8"/>
        <v>29328263.382181868</v>
      </c>
      <c r="D93" s="46">
        <f t="shared" si="9"/>
        <v>17613794.978671014</v>
      </c>
      <c r="E93" s="47">
        <f t="shared" si="10"/>
        <v>40420529.980087645</v>
      </c>
      <c r="F93" s="47">
        <f t="shared" si="11"/>
        <v>24275522.853870492</v>
      </c>
      <c r="H93" s="47">
        <f t="shared" si="12"/>
        <v>53044496.368469194</v>
      </c>
      <c r="I93" s="47">
        <f t="shared" si="20"/>
        <v>31857149.930967633</v>
      </c>
      <c r="J93" s="47">
        <f t="shared" si="18"/>
        <v>58212074.164541923</v>
      </c>
      <c r="K93" s="47">
        <f t="shared" si="13"/>
        <v>34960663.243373863</v>
      </c>
      <c r="M93" s="2">
        <f t="shared" si="14"/>
        <v>53044496.368469194</v>
      </c>
      <c r="N93" s="2">
        <f t="shared" si="15"/>
        <v>31857149.930967633</v>
      </c>
      <c r="O93">
        <f t="shared" si="5"/>
        <v>59244983.068348095</v>
      </c>
      <c r="P93" s="2">
        <f t="shared" si="22"/>
        <v>35581001.564337626</v>
      </c>
      <c r="R93" s="2">
        <f t="shared" si="16"/>
        <v>53044496.368469194</v>
      </c>
      <c r="S93" s="2">
        <f t="shared" si="6"/>
        <v>31857149.930967633</v>
      </c>
      <c r="T93">
        <f t="shared" si="7"/>
        <v>83973846.053158045</v>
      </c>
      <c r="U93" s="2">
        <f t="shared" ref="U93" si="31">T93/(1+0.04)^$B93</f>
        <v>50432515.852589533</v>
      </c>
    </row>
    <row r="94" spans="2:21" x14ac:dyDescent="0.45">
      <c r="B94" s="45">
        <v>14</v>
      </c>
      <c r="C94" s="47">
        <f t="shared" si="8"/>
        <v>29328263.382181868</v>
      </c>
      <c r="D94" s="46">
        <f t="shared" si="9"/>
        <v>16936341.325645208</v>
      </c>
      <c r="E94" s="47">
        <f t="shared" si="10"/>
        <v>40420529.980087645</v>
      </c>
      <c r="F94" s="47">
        <f t="shared" si="11"/>
        <v>23341848.897952396</v>
      </c>
      <c r="H94" s="47">
        <f t="shared" si="12"/>
        <v>53044496.368469194</v>
      </c>
      <c r="I94" s="47">
        <f t="shared" si="20"/>
        <v>30631874.933622725</v>
      </c>
      <c r="J94" s="47">
        <f t="shared" si="18"/>
        <v>58212074.164541923</v>
      </c>
      <c r="K94" s="47">
        <f t="shared" si="13"/>
        <v>33616022.34939795</v>
      </c>
      <c r="M94" s="2">
        <f t="shared" si="14"/>
        <v>53044496.368469194</v>
      </c>
      <c r="N94" s="2">
        <f t="shared" si="15"/>
        <v>30631874.933622725</v>
      </c>
      <c r="O94">
        <f t="shared" si="5"/>
        <v>59244983.068348095</v>
      </c>
      <c r="P94" s="2">
        <f t="shared" si="22"/>
        <v>34212501.504170798</v>
      </c>
      <c r="R94" s="2">
        <f t="shared" si="16"/>
        <v>53044496.368469194</v>
      </c>
      <c r="S94" s="2">
        <f t="shared" si="6"/>
        <v>30631874.933622725</v>
      </c>
      <c r="T94">
        <f t="shared" si="7"/>
        <v>83973846.053158045</v>
      </c>
      <c r="U94" s="2">
        <f t="shared" ref="U94" si="32">T94/(1+0.04)^$B94</f>
        <v>48492803.704413012</v>
      </c>
    </row>
    <row r="95" spans="2:21" x14ac:dyDescent="0.45">
      <c r="B95" s="45">
        <v>15</v>
      </c>
      <c r="C95" s="47">
        <f t="shared" si="8"/>
        <v>29328263.382181868</v>
      </c>
      <c r="D95" s="46">
        <f t="shared" si="9"/>
        <v>16284943.582351161</v>
      </c>
      <c r="E95" s="47">
        <f t="shared" si="10"/>
        <v>40420529.980087645</v>
      </c>
      <c r="F95" s="47">
        <f t="shared" si="11"/>
        <v>22444085.478800382</v>
      </c>
      <c r="H95" s="47">
        <f t="shared" si="12"/>
        <v>53044496.368469194</v>
      </c>
      <c r="I95" s="47">
        <f t="shared" si="20"/>
        <v>29453725.897714157</v>
      </c>
      <c r="J95" s="47">
        <f t="shared" si="18"/>
        <v>58212074.164541923</v>
      </c>
      <c r="K95" s="47">
        <f t="shared" si="13"/>
        <v>32323098.412882641</v>
      </c>
      <c r="M95" s="2">
        <f t="shared" si="14"/>
        <v>53044496.368469194</v>
      </c>
      <c r="N95" s="2">
        <f t="shared" si="15"/>
        <v>29453725.897714157</v>
      </c>
      <c r="O95">
        <f t="shared" si="5"/>
        <v>59244983.068348095</v>
      </c>
      <c r="P95" s="2">
        <f t="shared" si="22"/>
        <v>32896636.061702691</v>
      </c>
      <c r="R95" s="2">
        <f t="shared" si="16"/>
        <v>53044496.368469194</v>
      </c>
      <c r="S95" s="2">
        <f t="shared" si="6"/>
        <v>29453725.897714157</v>
      </c>
      <c r="T95">
        <f t="shared" si="7"/>
        <v>83973846.053158045</v>
      </c>
      <c r="U95" s="2">
        <f t="shared" ref="U95" si="33">T95/(1+0.04)^$B95</f>
        <v>46627695.869627893</v>
      </c>
    </row>
    <row r="96" spans="2:21" x14ac:dyDescent="0.45">
      <c r="B96" s="45">
        <v>16</v>
      </c>
      <c r="C96" s="47">
        <f t="shared" si="8"/>
        <v>29328263.382181868</v>
      </c>
      <c r="D96" s="46">
        <f t="shared" si="9"/>
        <v>15658599.598414576</v>
      </c>
      <c r="E96" s="47">
        <f t="shared" si="10"/>
        <v>40420529.980087645</v>
      </c>
      <c r="F96" s="47">
        <f t="shared" si="11"/>
        <v>21580851.42192344</v>
      </c>
      <c r="H96" s="47">
        <f t="shared" si="12"/>
        <v>53044496.368469194</v>
      </c>
      <c r="I96" s="47">
        <f t="shared" si="20"/>
        <v>28320890.286263607</v>
      </c>
      <c r="J96" s="47">
        <f t="shared" si="18"/>
        <v>58212074.164541923</v>
      </c>
      <c r="K96" s="47">
        <f t="shared" si="13"/>
        <v>31079902.320079457</v>
      </c>
      <c r="M96" s="2">
        <f t="shared" si="14"/>
        <v>53044496.368469194</v>
      </c>
      <c r="N96" s="2">
        <f t="shared" si="15"/>
        <v>28320890.286263607</v>
      </c>
      <c r="O96">
        <f t="shared" si="5"/>
        <v>59244983.068348095</v>
      </c>
      <c r="P96" s="2">
        <f t="shared" si="22"/>
        <v>31631380.828560274</v>
      </c>
      <c r="R96" s="2">
        <f t="shared" si="16"/>
        <v>53044496.368469194</v>
      </c>
      <c r="S96" s="2">
        <f t="shared" si="6"/>
        <v>28320890.286263607</v>
      </c>
      <c r="T96">
        <f t="shared" si="7"/>
        <v>83973846.053158045</v>
      </c>
      <c r="U96" s="2">
        <f t="shared" ref="U96" si="34">T96/(1+0.04)^$B96</f>
        <v>44834322.951565281</v>
      </c>
    </row>
    <row r="97" spans="2:21" x14ac:dyDescent="0.45">
      <c r="B97" s="45">
        <v>17</v>
      </c>
      <c r="C97" s="47">
        <f t="shared" si="8"/>
        <v>29328263.382181868</v>
      </c>
      <c r="D97" s="46">
        <f t="shared" si="9"/>
        <v>15056345.767706323</v>
      </c>
      <c r="E97" s="47">
        <f t="shared" si="10"/>
        <v>40420529.980087645</v>
      </c>
      <c r="F97" s="47">
        <f t="shared" si="11"/>
        <v>20750818.674926385</v>
      </c>
      <c r="H97" s="47">
        <f t="shared" si="12"/>
        <v>53044496.368469194</v>
      </c>
      <c r="I97" s="47">
        <f t="shared" si="20"/>
        <v>27231625.275253467</v>
      </c>
      <c r="J97" s="47">
        <f t="shared" si="18"/>
        <v>58212074.164541923</v>
      </c>
      <c r="K97" s="47">
        <f t="shared" si="13"/>
        <v>29884521.461614862</v>
      </c>
      <c r="M97" s="2">
        <f t="shared" si="14"/>
        <v>53044496.368469194</v>
      </c>
      <c r="N97" s="2">
        <f t="shared" si="15"/>
        <v>27231625.275253467</v>
      </c>
      <c r="O97">
        <f t="shared" si="5"/>
        <v>59244983.068348095</v>
      </c>
      <c r="P97" s="2">
        <f t="shared" si="22"/>
        <v>30414789.258231033</v>
      </c>
      <c r="R97" s="2">
        <f t="shared" si="16"/>
        <v>53044496.368469194</v>
      </c>
      <c r="S97" s="2">
        <f t="shared" si="6"/>
        <v>27231625.275253467</v>
      </c>
      <c r="T97">
        <f t="shared" si="7"/>
        <v>83973846.053158045</v>
      </c>
      <c r="U97" s="2">
        <f t="shared" ref="U97" si="35">T97/(1+0.04)^$B97</f>
        <v>43109925.914966613</v>
      </c>
    </row>
    <row r="98" spans="2:21" x14ac:dyDescent="0.45">
      <c r="B98" s="45">
        <v>18</v>
      </c>
      <c r="C98" s="47">
        <f t="shared" si="8"/>
        <v>29328263.382181868</v>
      </c>
      <c r="D98" s="46">
        <f t="shared" si="9"/>
        <v>14477255.545871463</v>
      </c>
      <c r="E98" s="47">
        <f t="shared" si="10"/>
        <v>40420529.980087645</v>
      </c>
      <c r="F98" s="47">
        <f t="shared" si="11"/>
        <v>19952710.264352292</v>
      </c>
      <c r="H98" s="47">
        <f t="shared" si="12"/>
        <v>53044496.368469194</v>
      </c>
      <c r="I98" s="47">
        <f t="shared" si="20"/>
        <v>26184255.0723591</v>
      </c>
      <c r="J98" s="47">
        <f t="shared" si="18"/>
        <v>58212074.164541923</v>
      </c>
      <c r="K98" s="47">
        <f t="shared" si="13"/>
        <v>28735116.790014289</v>
      </c>
      <c r="M98" s="2">
        <f t="shared" si="14"/>
        <v>53044496.368469194</v>
      </c>
      <c r="N98" s="2">
        <f t="shared" si="15"/>
        <v>26184255.0723591</v>
      </c>
      <c r="O98">
        <f t="shared" si="5"/>
        <v>59244983.068348095</v>
      </c>
      <c r="P98" s="2">
        <f t="shared" si="22"/>
        <v>29244989.67137599</v>
      </c>
      <c r="R98" s="2">
        <f t="shared" si="16"/>
        <v>53044496.368469194</v>
      </c>
      <c r="S98" s="2">
        <f t="shared" si="6"/>
        <v>26184255.0723591</v>
      </c>
      <c r="T98">
        <f t="shared" si="7"/>
        <v>83973846.053158045</v>
      </c>
      <c r="U98" s="2">
        <f t="shared" ref="U98" si="36">T98/(1+0.04)^$B98</f>
        <v>41451851.841314048</v>
      </c>
    </row>
    <row r="99" spans="2:21" x14ac:dyDescent="0.45">
      <c r="B99" s="45">
        <v>19</v>
      </c>
      <c r="C99" s="47">
        <f t="shared" si="8"/>
        <v>29328263.382181868</v>
      </c>
      <c r="D99" s="46">
        <f t="shared" si="9"/>
        <v>13920438.024876406</v>
      </c>
      <c r="E99" s="47">
        <f t="shared" si="10"/>
        <v>40420529.980087645</v>
      </c>
      <c r="F99" s="47">
        <f t="shared" si="11"/>
        <v>19185298.33110797</v>
      </c>
      <c r="H99" s="47">
        <f t="shared" si="12"/>
        <v>53044496.368469194</v>
      </c>
      <c r="I99" s="47">
        <f t="shared" si="20"/>
        <v>25177168.33880683</v>
      </c>
      <c r="J99" s="47">
        <f t="shared" si="18"/>
        <v>58212074.164541923</v>
      </c>
      <c r="K99" s="47">
        <f t="shared" si="13"/>
        <v>27629919.990398355</v>
      </c>
      <c r="M99" s="2">
        <f t="shared" si="14"/>
        <v>53044496.368469194</v>
      </c>
      <c r="N99" s="2">
        <f t="shared" si="15"/>
        <v>25177168.33880683</v>
      </c>
      <c r="O99">
        <f t="shared" si="5"/>
        <v>59244983.068348095</v>
      </c>
      <c r="P99" s="2">
        <f t="shared" si="22"/>
        <v>28120182.376323067</v>
      </c>
      <c r="R99" s="2">
        <f t="shared" si="16"/>
        <v>53044496.368469194</v>
      </c>
      <c r="S99" s="2">
        <f t="shared" si="6"/>
        <v>25177168.33880683</v>
      </c>
      <c r="T99">
        <f t="shared" si="7"/>
        <v>83973846.053158045</v>
      </c>
      <c r="U99" s="2">
        <f t="shared" ref="U99" si="37">T99/(1+0.04)^$B99</f>
        <v>39857549.847417355</v>
      </c>
    </row>
    <row r="100" spans="2:21" x14ac:dyDescent="0.45">
      <c r="B100" s="45">
        <v>20</v>
      </c>
      <c r="C100" s="47">
        <f t="shared" si="8"/>
        <v>29328263.382181868</v>
      </c>
      <c r="D100" s="46">
        <f t="shared" si="9"/>
        <v>13385036.56238116</v>
      </c>
      <c r="E100" s="47">
        <f t="shared" si="10"/>
        <v>40420529.980087645</v>
      </c>
      <c r="F100" s="47">
        <f t="shared" si="11"/>
        <v>18447402.241449974</v>
      </c>
      <c r="H100" s="47">
        <f t="shared" si="12"/>
        <v>53044496.368469194</v>
      </c>
      <c r="I100" s="47">
        <f t="shared" si="20"/>
        <v>24208815.710391182</v>
      </c>
      <c r="J100" s="47">
        <f t="shared" si="18"/>
        <v>58212074.164541923</v>
      </c>
      <c r="K100" s="47">
        <f t="shared" si="13"/>
        <v>26567230.759998418</v>
      </c>
      <c r="M100" s="2">
        <f t="shared" si="14"/>
        <v>53044496.368469194</v>
      </c>
      <c r="N100" s="2">
        <f t="shared" si="15"/>
        <v>24208815.710391182</v>
      </c>
      <c r="O100">
        <f t="shared" si="5"/>
        <v>59244983.068348095</v>
      </c>
      <c r="P100" s="2">
        <f t="shared" si="22"/>
        <v>27038636.900310639</v>
      </c>
      <c r="R100" s="2">
        <f t="shared" si="16"/>
        <v>53044496.368469194</v>
      </c>
      <c r="S100" s="2">
        <f t="shared" si="6"/>
        <v>24208815.710391182</v>
      </c>
      <c r="T100">
        <f t="shared" si="7"/>
        <v>83973846.053158045</v>
      </c>
      <c r="U100" s="2">
        <f t="shared" ref="U100" si="38">T100/(1+0.04)^$B100</f>
        <v>38324567.16097822</v>
      </c>
    </row>
    <row r="101" spans="2:21" x14ac:dyDescent="0.45">
      <c r="B101" s="45">
        <v>21</v>
      </c>
      <c r="C101" s="47">
        <f t="shared" si="8"/>
        <v>29328263.382181868</v>
      </c>
      <c r="D101" s="46">
        <f t="shared" si="9"/>
        <v>12870227.463828035</v>
      </c>
      <c r="E101" s="47">
        <f t="shared" si="10"/>
        <v>40420529.980087645</v>
      </c>
      <c r="F101" s="47">
        <f t="shared" si="11"/>
        <v>17737886.770624969</v>
      </c>
      <c r="H101" s="47">
        <f t="shared" si="12"/>
        <v>53044496.368469194</v>
      </c>
      <c r="I101" s="47">
        <f t="shared" si="20"/>
        <v>23277707.413837668</v>
      </c>
      <c r="J101" s="47">
        <f t="shared" si="18"/>
        <v>58212074.164541923</v>
      </c>
      <c r="K101" s="47">
        <f t="shared" si="13"/>
        <v>25545414.192306165</v>
      </c>
      <c r="M101" s="2">
        <f t="shared" si="14"/>
        <v>53044496.368469194</v>
      </c>
      <c r="N101" s="2">
        <f t="shared" si="15"/>
        <v>23277707.413837668</v>
      </c>
      <c r="O101">
        <f t="shared" si="5"/>
        <v>59244983.068348095</v>
      </c>
      <c r="P101" s="2">
        <f t="shared" si="22"/>
        <v>25998689.327221762</v>
      </c>
      <c r="R101" s="2">
        <f t="shared" si="16"/>
        <v>53044496.368469194</v>
      </c>
      <c r="S101" s="2">
        <f t="shared" si="6"/>
        <v>23277707.413837668</v>
      </c>
      <c r="T101">
        <f t="shared" si="7"/>
        <v>83973846.053158045</v>
      </c>
      <c r="U101" s="2">
        <f t="shared" ref="U101" si="39">T101/(1+0.04)^$B101</f>
        <v>36850545.347094439</v>
      </c>
    </row>
    <row r="102" spans="2:21" x14ac:dyDescent="0.45">
      <c r="B102" s="45">
        <v>22</v>
      </c>
      <c r="C102" s="47">
        <f t="shared" si="8"/>
        <v>29328263.382181868</v>
      </c>
      <c r="D102" s="46">
        <f t="shared" si="9"/>
        <v>12375218.715219265</v>
      </c>
      <c r="E102" s="47">
        <f t="shared" si="10"/>
        <v>40420529.980087645</v>
      </c>
      <c r="F102" s="47">
        <f t="shared" si="11"/>
        <v>17055660.356370166</v>
      </c>
      <c r="H102" s="47">
        <f t="shared" si="12"/>
        <v>53044496.368469194</v>
      </c>
      <c r="I102" s="47">
        <f t="shared" si="20"/>
        <v>22382410.974843916</v>
      </c>
      <c r="J102" s="47">
        <f t="shared" si="18"/>
        <v>58212074.164541923</v>
      </c>
      <c r="K102" s="47">
        <f t="shared" si="13"/>
        <v>24562898.261832852</v>
      </c>
      <c r="M102" s="2">
        <f t="shared" si="14"/>
        <v>53044496.368469194</v>
      </c>
      <c r="N102" s="2">
        <f t="shared" si="15"/>
        <v>22382410.974843916</v>
      </c>
      <c r="O102">
        <f t="shared" si="5"/>
        <v>59244983.068348095</v>
      </c>
      <c r="P102" s="2">
        <f t="shared" si="22"/>
        <v>24998739.737713236</v>
      </c>
      <c r="R102" s="2">
        <f t="shared" si="16"/>
        <v>53044496.368469194</v>
      </c>
      <c r="S102" s="2">
        <f t="shared" si="6"/>
        <v>22382410.974843916</v>
      </c>
      <c r="T102">
        <f t="shared" si="7"/>
        <v>83973846.053158045</v>
      </c>
      <c r="U102" s="2">
        <f t="shared" ref="U102" si="40">T102/(1+0.04)^$B102</f>
        <v>35433216.6798985</v>
      </c>
    </row>
    <row r="103" spans="2:21" x14ac:dyDescent="0.45">
      <c r="B103" s="45">
        <v>23</v>
      </c>
      <c r="C103" s="47">
        <f t="shared" si="8"/>
        <v>29328263.382181868</v>
      </c>
      <c r="D103" s="46">
        <f t="shared" si="9"/>
        <v>11899248.764633911</v>
      </c>
      <c r="E103" s="47">
        <f t="shared" si="10"/>
        <v>40420529.980087645</v>
      </c>
      <c r="F103" s="47">
        <f t="shared" si="11"/>
        <v>16399673.419586698</v>
      </c>
      <c r="H103" s="47">
        <f t="shared" si="12"/>
        <v>53044496.368469194</v>
      </c>
      <c r="I103" s="47">
        <f t="shared" si="20"/>
        <v>21521549.014272995</v>
      </c>
      <c r="J103" s="47">
        <f t="shared" si="18"/>
        <v>58212074.164541923</v>
      </c>
      <c r="K103" s="47">
        <f t="shared" si="13"/>
        <v>23618171.405608512</v>
      </c>
      <c r="M103" s="2">
        <f t="shared" si="14"/>
        <v>53044496.368469194</v>
      </c>
      <c r="N103" s="2">
        <f t="shared" si="15"/>
        <v>21521549.014272995</v>
      </c>
      <c r="O103">
        <f t="shared" si="5"/>
        <v>59244983.068348095</v>
      </c>
      <c r="P103" s="2">
        <f t="shared" si="22"/>
        <v>24037249.747801192</v>
      </c>
      <c r="R103" s="2">
        <f t="shared" si="16"/>
        <v>53044496.368469194</v>
      </c>
      <c r="S103" s="2">
        <f t="shared" si="6"/>
        <v>21521549.014272995</v>
      </c>
      <c r="T103">
        <f t="shared" si="7"/>
        <v>83973846.053158045</v>
      </c>
      <c r="U103" s="2">
        <f t="shared" ref="U103" si="41">T103/(1+0.04)^$B103</f>
        <v>34070400.653748557</v>
      </c>
    </row>
    <row r="104" spans="2:21" x14ac:dyDescent="0.45">
      <c r="B104" s="45">
        <v>24</v>
      </c>
      <c r="C104" s="47">
        <f t="shared" si="8"/>
        <v>29328263.382181868</v>
      </c>
      <c r="D104" s="46">
        <f t="shared" si="9"/>
        <v>11441585.350609528</v>
      </c>
      <c r="E104" s="47">
        <f t="shared" si="10"/>
        <v>40420529.980087645</v>
      </c>
      <c r="F104" s="47">
        <f t="shared" si="11"/>
        <v>15768916.749602593</v>
      </c>
      <c r="H104" s="47">
        <f t="shared" si="12"/>
        <v>53044496.368469194</v>
      </c>
      <c r="I104" s="47">
        <f t="shared" si="20"/>
        <v>20693797.129108649</v>
      </c>
      <c r="J104" s="47">
        <f t="shared" si="18"/>
        <v>58212074.164541923</v>
      </c>
      <c r="K104" s="47">
        <f t="shared" si="13"/>
        <v>22709780.197700493</v>
      </c>
      <c r="M104" s="2">
        <f t="shared" si="14"/>
        <v>53044496.368469194</v>
      </c>
      <c r="N104" s="2">
        <f t="shared" si="15"/>
        <v>20693797.129108649</v>
      </c>
      <c r="O104">
        <f t="shared" si="5"/>
        <v>59244983.068348095</v>
      </c>
      <c r="P104" s="2">
        <f t="shared" si="22"/>
        <v>23112740.142116528</v>
      </c>
      <c r="R104" s="2">
        <f t="shared" si="16"/>
        <v>53044496.368469194</v>
      </c>
      <c r="S104" s="2">
        <f t="shared" si="6"/>
        <v>20693797.129108649</v>
      </c>
      <c r="T104">
        <f t="shared" si="7"/>
        <v>83973846.053158045</v>
      </c>
      <c r="U104" s="2">
        <f t="shared" ref="U104" si="42">T104/(1+0.04)^$B104</f>
        <v>32760000.628604379</v>
      </c>
    </row>
    <row r="105" spans="2:21" x14ac:dyDescent="0.45">
      <c r="B105" s="45">
        <v>25</v>
      </c>
      <c r="C105" s="47">
        <f t="shared" si="8"/>
        <v>29328263.382181868</v>
      </c>
      <c r="D105" s="46">
        <f t="shared" si="9"/>
        <v>11001524.375586083</v>
      </c>
      <c r="E105" s="47">
        <f t="shared" si="10"/>
        <v>40420529.980087645</v>
      </c>
      <c r="F105" s="47">
        <f t="shared" si="11"/>
        <v>15162419.951540951</v>
      </c>
      <c r="H105" s="47">
        <f t="shared" si="12"/>
        <v>53044496.368469194</v>
      </c>
      <c r="I105" s="47">
        <f t="shared" si="20"/>
        <v>19897881.854912158</v>
      </c>
      <c r="J105" s="47">
        <f t="shared" si="18"/>
        <v>58212074.164541923</v>
      </c>
      <c r="K105" s="47">
        <f t="shared" si="13"/>
        <v>21836327.113173544</v>
      </c>
      <c r="M105" s="2">
        <f t="shared" si="14"/>
        <v>53044496.368469194</v>
      </c>
      <c r="N105" s="2">
        <f t="shared" si="15"/>
        <v>19897881.854912158</v>
      </c>
      <c r="O105">
        <f t="shared" si="5"/>
        <v>59244983.068348095</v>
      </c>
      <c r="P105" s="2">
        <f t="shared" si="22"/>
        <v>22223788.598188963</v>
      </c>
      <c r="R105" s="2">
        <f t="shared" si="16"/>
        <v>53044496.368469194</v>
      </c>
      <c r="S105" s="2">
        <f t="shared" si="6"/>
        <v>19897881.854912158</v>
      </c>
      <c r="T105">
        <f t="shared" si="7"/>
        <v>83973846.053158045</v>
      </c>
      <c r="U105" s="2">
        <f t="shared" ref="U105" si="43">T105/(1+0.04)^$B105</f>
        <v>31500000.604427282</v>
      </c>
    </row>
    <row r="106" spans="2:21" x14ac:dyDescent="0.45">
      <c r="B106" s="45">
        <v>26</v>
      </c>
      <c r="C106" s="47">
        <f t="shared" si="8"/>
        <v>29328263.382181868</v>
      </c>
      <c r="D106" s="46">
        <f t="shared" si="9"/>
        <v>10578388.822678927</v>
      </c>
      <c r="E106" s="47">
        <f t="shared" si="10"/>
        <v>40420529.980087645</v>
      </c>
      <c r="F106" s="47">
        <f t="shared" si="11"/>
        <v>14579249.953404762</v>
      </c>
      <c r="H106" s="47">
        <f t="shared" si="12"/>
        <v>53044496.368469194</v>
      </c>
      <c r="I106" s="47">
        <f t="shared" si="20"/>
        <v>19132578.706646308</v>
      </c>
      <c r="J106" s="47">
        <f t="shared" si="18"/>
        <v>58212074.164541923</v>
      </c>
      <c r="K106" s="47">
        <f t="shared" si="13"/>
        <v>20996468.37805149</v>
      </c>
      <c r="M106" s="2">
        <f t="shared" si="14"/>
        <v>53044496.368469194</v>
      </c>
      <c r="N106" s="2">
        <f t="shared" si="15"/>
        <v>19132578.706646308</v>
      </c>
      <c r="O106">
        <f t="shared" si="5"/>
        <v>59244983.068348095</v>
      </c>
      <c r="P106" s="2">
        <f t="shared" si="22"/>
        <v>21369027.498258621</v>
      </c>
      <c r="R106" s="2">
        <f t="shared" si="16"/>
        <v>53044496.368469194</v>
      </c>
      <c r="S106" s="2">
        <f t="shared" si="6"/>
        <v>19132578.706646308</v>
      </c>
      <c r="T106">
        <f t="shared" si="7"/>
        <v>83973846.053158045</v>
      </c>
      <c r="U106" s="2">
        <f t="shared" ref="U106" si="44">T106/(1+0.04)^$B106</f>
        <v>30288462.119641621</v>
      </c>
    </row>
    <row r="107" spans="2:21" x14ac:dyDescent="0.45">
      <c r="B107" s="45">
        <v>27</v>
      </c>
      <c r="C107" s="47">
        <f t="shared" si="8"/>
        <v>29328263.382181868</v>
      </c>
      <c r="D107" s="46">
        <f t="shared" si="9"/>
        <v>10171527.714114353</v>
      </c>
      <c r="E107" s="47">
        <f t="shared" si="10"/>
        <v>40420529.980087645</v>
      </c>
      <c r="F107" s="47">
        <f t="shared" si="11"/>
        <v>14018509.570581501</v>
      </c>
      <c r="H107" s="47">
        <f t="shared" si="12"/>
        <v>53044496.368469194</v>
      </c>
      <c r="I107" s="47">
        <f t="shared" si="20"/>
        <v>18396710.29485222</v>
      </c>
      <c r="J107" s="47">
        <f t="shared" si="18"/>
        <v>58212074.164541923</v>
      </c>
      <c r="K107" s="47">
        <f t="shared" si="13"/>
        <v>20188911.901972584</v>
      </c>
      <c r="M107" s="2">
        <f t="shared" si="14"/>
        <v>53044496.368469194</v>
      </c>
      <c r="N107" s="2">
        <f t="shared" si="15"/>
        <v>18396710.29485222</v>
      </c>
      <c r="O107">
        <f t="shared" si="5"/>
        <v>59244983.068348095</v>
      </c>
      <c r="P107" s="2">
        <f t="shared" si="22"/>
        <v>20547141.825248674</v>
      </c>
      <c r="R107" s="2">
        <f t="shared" si="16"/>
        <v>53044496.368469194</v>
      </c>
      <c r="S107" s="2">
        <f t="shared" si="6"/>
        <v>18396710.29485222</v>
      </c>
      <c r="T107">
        <f t="shared" si="7"/>
        <v>83973846.053158045</v>
      </c>
      <c r="U107" s="2">
        <f t="shared" ref="U107" si="45">T107/(1+0.04)^$B107</f>
        <v>29123521.268886175</v>
      </c>
    </row>
    <row r="108" spans="2:21" x14ac:dyDescent="0.45">
      <c r="B108" s="45">
        <v>28</v>
      </c>
      <c r="C108" s="47">
        <f t="shared" si="8"/>
        <v>29328263.382181868</v>
      </c>
      <c r="D108" s="46">
        <f t="shared" si="9"/>
        <v>9780315.1097253356</v>
      </c>
      <c r="E108" s="47">
        <f t="shared" si="10"/>
        <v>40420529.980087645</v>
      </c>
      <c r="F108" s="47">
        <f t="shared" si="11"/>
        <v>13479336.125559134</v>
      </c>
      <c r="H108" s="47">
        <f t="shared" si="12"/>
        <v>53044496.368469194</v>
      </c>
      <c r="I108" s="47">
        <f t="shared" si="20"/>
        <v>17689144.514280975</v>
      </c>
      <c r="J108" s="47">
        <f t="shared" si="18"/>
        <v>58212074.164541923</v>
      </c>
      <c r="K108" s="47">
        <f t="shared" si="13"/>
        <v>19412415.290358249</v>
      </c>
      <c r="M108" s="2">
        <f t="shared" si="14"/>
        <v>53044496.368469194</v>
      </c>
      <c r="N108" s="2">
        <f t="shared" si="15"/>
        <v>17689144.514280975</v>
      </c>
      <c r="O108">
        <f t="shared" si="5"/>
        <v>59244983.068348095</v>
      </c>
      <c r="P108" s="2">
        <f t="shared" si="22"/>
        <v>19756867.139662184</v>
      </c>
      <c r="R108" s="2">
        <f t="shared" si="16"/>
        <v>53044496.368469194</v>
      </c>
      <c r="S108" s="2">
        <f t="shared" si="6"/>
        <v>17689144.514280975</v>
      </c>
      <c r="T108">
        <f t="shared" si="7"/>
        <v>83973846.053158045</v>
      </c>
      <c r="U108" s="2">
        <f t="shared" ref="U108" si="46">T108/(1+0.04)^$B108</f>
        <v>28003385.835467469</v>
      </c>
    </row>
    <row r="109" spans="2:21" x14ac:dyDescent="0.45">
      <c r="B109" s="45">
        <v>29</v>
      </c>
      <c r="C109" s="47">
        <f t="shared" si="8"/>
        <v>29328263.382181868</v>
      </c>
      <c r="D109" s="46">
        <f t="shared" si="9"/>
        <v>9404149.1439666692</v>
      </c>
      <c r="E109" s="47">
        <f t="shared" si="10"/>
        <v>40420529.980087645</v>
      </c>
      <c r="F109" s="47">
        <f t="shared" si="11"/>
        <v>12960900.120729936</v>
      </c>
      <c r="H109" s="47">
        <f t="shared" si="12"/>
        <v>53044496.368469194</v>
      </c>
      <c r="I109" s="47">
        <f t="shared" si="20"/>
        <v>17008792.802193247</v>
      </c>
      <c r="J109" s="47">
        <f t="shared" si="18"/>
        <v>58212074.164541923</v>
      </c>
      <c r="K109" s="47">
        <f t="shared" si="13"/>
        <v>18665783.933036778</v>
      </c>
      <c r="M109" s="2">
        <f t="shared" si="14"/>
        <v>53044496.368469194</v>
      </c>
      <c r="N109" s="2">
        <f t="shared" si="15"/>
        <v>17008792.802193247</v>
      </c>
      <c r="O109">
        <f t="shared" si="5"/>
        <v>59244983.068348095</v>
      </c>
      <c r="P109" s="2">
        <f t="shared" si="22"/>
        <v>18996987.634290561</v>
      </c>
      <c r="R109" s="2">
        <f t="shared" si="16"/>
        <v>53044496.368469194</v>
      </c>
      <c r="S109" s="2">
        <f t="shared" si="6"/>
        <v>17008792.802193247</v>
      </c>
      <c r="T109">
        <f t="shared" si="7"/>
        <v>83973846.053158045</v>
      </c>
      <c r="U109" s="2">
        <f t="shared" ref="U109" si="47">T109/(1+0.04)^$B109</f>
        <v>26926332.534103334</v>
      </c>
    </row>
    <row r="110" spans="2:21" x14ac:dyDescent="0.45">
      <c r="B110" s="45">
        <v>30</v>
      </c>
      <c r="C110" s="47">
        <f t="shared" si="8"/>
        <v>29328263.382181868</v>
      </c>
      <c r="D110" s="46">
        <f t="shared" si="9"/>
        <v>9042451.0999679528</v>
      </c>
      <c r="E110" s="47">
        <f t="shared" si="10"/>
        <v>40420529.980087645</v>
      </c>
      <c r="F110" s="47">
        <f t="shared" si="11"/>
        <v>12462403.962240325</v>
      </c>
      <c r="H110" s="47">
        <f t="shared" si="12"/>
        <v>53044496.368469194</v>
      </c>
      <c r="I110" s="47">
        <f t="shared" si="20"/>
        <v>16354608.463647353</v>
      </c>
      <c r="J110" s="47">
        <f t="shared" si="18"/>
        <v>58212074.164541923</v>
      </c>
      <c r="K110" s="47">
        <f t="shared" si="13"/>
        <v>17947869.166381519</v>
      </c>
      <c r="M110" s="2">
        <f t="shared" si="14"/>
        <v>53044496.368469194</v>
      </c>
      <c r="N110" s="2">
        <f t="shared" si="15"/>
        <v>16354608.463647353</v>
      </c>
      <c r="O110">
        <f t="shared" si="5"/>
        <v>59244983.068348095</v>
      </c>
      <c r="P110" s="2">
        <f t="shared" si="22"/>
        <v>18266334.263740923</v>
      </c>
      <c r="R110" s="2">
        <f t="shared" si="16"/>
        <v>53044496.368469194</v>
      </c>
      <c r="S110" s="2">
        <f t="shared" si="6"/>
        <v>16354608.463647353</v>
      </c>
      <c r="T110">
        <f t="shared" si="7"/>
        <v>83973846.053158045</v>
      </c>
      <c r="U110" s="2">
        <f t="shared" ref="U110" si="48">T110/(1+0.04)^$B110</f>
        <v>25890704.359714746</v>
      </c>
    </row>
    <row r="111" spans="2:21" x14ac:dyDescent="0.45">
      <c r="B111" s="45">
        <v>31</v>
      </c>
      <c r="C111" s="47">
        <f t="shared" si="8"/>
        <v>29328263.382181868</v>
      </c>
      <c r="D111" s="46">
        <f t="shared" si="9"/>
        <v>8694664.5191999543</v>
      </c>
      <c r="E111" s="47">
        <f t="shared" si="10"/>
        <v>40420529.980087645</v>
      </c>
      <c r="F111" s="47">
        <f t="shared" si="11"/>
        <v>11983080.732923388</v>
      </c>
      <c r="H111" s="47">
        <f t="shared" si="12"/>
        <v>53044496.368469194</v>
      </c>
      <c r="I111" s="47">
        <f t="shared" si="20"/>
        <v>15725585.061199376</v>
      </c>
      <c r="J111" s="47">
        <f t="shared" si="18"/>
        <v>58212074.164541923</v>
      </c>
      <c r="K111" s="47">
        <f t="shared" si="13"/>
        <v>17257566.506136075</v>
      </c>
      <c r="M111" s="2">
        <f t="shared" si="14"/>
        <v>53044496.368469194</v>
      </c>
      <c r="N111" s="2">
        <f t="shared" si="15"/>
        <v>15725585.061199376</v>
      </c>
      <c r="O111">
        <f t="shared" si="5"/>
        <v>59244983.068348095</v>
      </c>
      <c r="P111" s="2">
        <f t="shared" si="22"/>
        <v>17563782.945904735</v>
      </c>
      <c r="R111" s="2">
        <f t="shared" si="16"/>
        <v>53044496.368469194</v>
      </c>
      <c r="S111" s="2">
        <f t="shared" si="6"/>
        <v>15725585.061199376</v>
      </c>
      <c r="T111">
        <f t="shared" si="7"/>
        <v>83973846.053158045</v>
      </c>
      <c r="U111" s="2">
        <f t="shared" ref="U111" si="49">T111/(1+0.04)^$B111</f>
        <v>24894908.038187254</v>
      </c>
    </row>
    <row r="112" spans="2:21" x14ac:dyDescent="0.45">
      <c r="B112" s="45">
        <v>32</v>
      </c>
      <c r="C112" s="47">
        <f t="shared" si="8"/>
        <v>29328263.382181868</v>
      </c>
      <c r="D112" s="46">
        <f t="shared" si="9"/>
        <v>8360254.3453845698</v>
      </c>
      <c r="E112" s="47">
        <f t="shared" si="10"/>
        <v>40420529.980087645</v>
      </c>
      <c r="F112" s="47">
        <f t="shared" si="11"/>
        <v>11522193.012426334</v>
      </c>
      <c r="H112" s="47">
        <f t="shared" si="12"/>
        <v>53044496.368469194</v>
      </c>
      <c r="I112" s="47">
        <f t="shared" si="20"/>
        <v>15120754.866537862</v>
      </c>
      <c r="J112" s="47">
        <f t="shared" si="18"/>
        <v>58212074.164541923</v>
      </c>
      <c r="K112" s="47">
        <f t="shared" si="13"/>
        <v>16593813.948207764</v>
      </c>
      <c r="M112" s="2">
        <f t="shared" si="14"/>
        <v>53044496.368469194</v>
      </c>
      <c r="N112" s="2">
        <f t="shared" si="15"/>
        <v>15120754.866537862</v>
      </c>
      <c r="O112">
        <f t="shared" si="5"/>
        <v>59244983.068348095</v>
      </c>
      <c r="P112" s="2">
        <f t="shared" si="22"/>
        <v>16888252.832600705</v>
      </c>
      <c r="R112" s="2">
        <f t="shared" si="16"/>
        <v>53044496.368469194</v>
      </c>
      <c r="S112" s="2">
        <f t="shared" si="6"/>
        <v>15120754.866537862</v>
      </c>
      <c r="T112">
        <f t="shared" si="7"/>
        <v>83973846.053158045</v>
      </c>
      <c r="U112" s="2">
        <f t="shared" ref="U112" si="50">T112/(1+0.04)^$B112</f>
        <v>23937411.57518005</v>
      </c>
    </row>
    <row r="113" spans="2:21" x14ac:dyDescent="0.45">
      <c r="B113" s="45">
        <v>33</v>
      </c>
      <c r="C113" s="47">
        <f t="shared" si="8"/>
        <v>29328263.382181868</v>
      </c>
      <c r="D113" s="46">
        <f t="shared" si="9"/>
        <v>8038706.1013313178</v>
      </c>
      <c r="E113" s="47">
        <f t="shared" ref="E113:E130" si="51">$C$71*SUM($D$80:$D$130)</f>
        <v>40420529.980087645</v>
      </c>
      <c r="F113" s="47">
        <f t="shared" si="11"/>
        <v>11079031.742717629</v>
      </c>
      <c r="H113" s="47">
        <f t="shared" si="12"/>
        <v>53044496.368469194</v>
      </c>
      <c r="I113" s="47">
        <f t="shared" si="20"/>
        <v>14539187.371671021</v>
      </c>
      <c r="J113" s="47">
        <f t="shared" ref="J113:J129" si="52">$C$71*SUM($I$80:$I$130)</f>
        <v>58212074.164541923</v>
      </c>
      <c r="K113" s="47">
        <f t="shared" si="13"/>
        <v>15955590.334815158</v>
      </c>
      <c r="M113" s="2">
        <f t="shared" si="14"/>
        <v>53044496.368469194</v>
      </c>
      <c r="N113" s="2">
        <f t="shared" si="15"/>
        <v>14539187.371671021</v>
      </c>
      <c r="O113">
        <f t="shared" ref="O113:O130" si="53">$C$71*SUM($N$80:$N$130)</f>
        <v>59244983.068348095</v>
      </c>
      <c r="P113" s="2">
        <f t="shared" si="22"/>
        <v>16238704.646731447</v>
      </c>
      <c r="R113" s="2">
        <f t="shared" si="16"/>
        <v>53044496.368469194</v>
      </c>
      <c r="S113" s="2">
        <f t="shared" si="6"/>
        <v>14539187.371671021</v>
      </c>
      <c r="T113">
        <f t="shared" ref="T113:T130" si="54">$C$71*SUM($S$80:$S$130)</f>
        <v>83973846.053158045</v>
      </c>
      <c r="U113" s="2">
        <f t="shared" ref="U113" si="55">T113/(1+0.04)^$B113</f>
        <v>23016741.899211589</v>
      </c>
    </row>
    <row r="114" spans="2:21" x14ac:dyDescent="0.45">
      <c r="B114" s="45">
        <v>34</v>
      </c>
      <c r="C114" s="47">
        <f t="shared" si="8"/>
        <v>29328263.382181868</v>
      </c>
      <c r="D114" s="46">
        <f t="shared" si="9"/>
        <v>7729525.0974339582</v>
      </c>
      <c r="E114" s="47">
        <f t="shared" si="51"/>
        <v>40420529.980087645</v>
      </c>
      <c r="F114" s="47">
        <f t="shared" si="11"/>
        <v>10652915.137228489</v>
      </c>
      <c r="H114" s="47">
        <f t="shared" si="12"/>
        <v>53044496.368469194</v>
      </c>
      <c r="I114" s="47">
        <f t="shared" si="20"/>
        <v>13979987.857375979</v>
      </c>
      <c r="J114" s="47">
        <f t="shared" si="52"/>
        <v>58212074.164541923</v>
      </c>
      <c r="K114" s="47">
        <f t="shared" si="13"/>
        <v>15341913.783476112</v>
      </c>
      <c r="M114" s="2">
        <f t="shared" si="14"/>
        <v>53044496.368469194</v>
      </c>
      <c r="N114" s="2">
        <f t="shared" si="15"/>
        <v>13979987.857375979</v>
      </c>
      <c r="O114">
        <f t="shared" si="53"/>
        <v>59244983.068348095</v>
      </c>
      <c r="P114" s="2">
        <f t="shared" si="22"/>
        <v>15614139.083395621</v>
      </c>
      <c r="R114" s="2">
        <f t="shared" si="16"/>
        <v>53044496.368469194</v>
      </c>
      <c r="S114" s="2">
        <f t="shared" si="6"/>
        <v>13979987.857375979</v>
      </c>
      <c r="T114">
        <f t="shared" si="54"/>
        <v>83973846.053158045</v>
      </c>
      <c r="U114" s="2">
        <f t="shared" ref="U114" si="56">T114/(1+0.04)^$B114</f>
        <v>22131482.595395755</v>
      </c>
    </row>
    <row r="115" spans="2:21" x14ac:dyDescent="0.45">
      <c r="B115" s="45">
        <v>35</v>
      </c>
      <c r="C115" s="47">
        <f t="shared" si="8"/>
        <v>29328263.382181868</v>
      </c>
      <c r="D115" s="46">
        <f t="shared" si="9"/>
        <v>7432235.6706095748</v>
      </c>
      <c r="E115" s="47">
        <f t="shared" si="51"/>
        <v>40420529.980087645</v>
      </c>
      <c r="F115" s="47">
        <f t="shared" si="11"/>
        <v>10243187.63195047</v>
      </c>
      <c r="H115" s="47">
        <f t="shared" si="12"/>
        <v>53044496.368469194</v>
      </c>
      <c r="I115" s="47">
        <f t="shared" si="20"/>
        <v>13442296.016707672</v>
      </c>
      <c r="J115" s="47">
        <f t="shared" si="52"/>
        <v>58212074.164541923</v>
      </c>
      <c r="K115" s="47">
        <f t="shared" si="13"/>
        <v>14751840.176419338</v>
      </c>
      <c r="M115" s="2">
        <f t="shared" si="14"/>
        <v>53044496.368469194</v>
      </c>
      <c r="N115" s="2">
        <f t="shared" si="15"/>
        <v>13442296.016707672</v>
      </c>
      <c r="O115">
        <f t="shared" si="53"/>
        <v>59244983.068348095</v>
      </c>
      <c r="P115" s="2">
        <f t="shared" si="22"/>
        <v>15013595.272495788</v>
      </c>
      <c r="R115" s="2">
        <f t="shared" si="16"/>
        <v>53044496.368469194</v>
      </c>
      <c r="S115" s="2">
        <f t="shared" si="6"/>
        <v>13442296.016707672</v>
      </c>
      <c r="T115">
        <f t="shared" si="54"/>
        <v>83973846.053158045</v>
      </c>
      <c r="U115" s="2">
        <f t="shared" ref="U115" si="57">T115/(1+0.04)^$B115</f>
        <v>21280271.726342071</v>
      </c>
    </row>
    <row r="116" spans="2:21" x14ac:dyDescent="0.45">
      <c r="B116" s="45">
        <v>36</v>
      </c>
      <c r="C116" s="47">
        <f t="shared" si="8"/>
        <v>29328263.382181868</v>
      </c>
      <c r="D116" s="46">
        <f t="shared" si="9"/>
        <v>7146380.4525092077</v>
      </c>
      <c r="E116" s="47">
        <f t="shared" si="51"/>
        <v>40420529.980087645</v>
      </c>
      <c r="F116" s="47">
        <f t="shared" si="11"/>
        <v>9849218.8768754508</v>
      </c>
      <c r="H116" s="47">
        <f>VLOOKUP($C$72,$X$46:$Y$48,2)*$I$77</f>
        <v>53044496.368469194</v>
      </c>
      <c r="I116" s="47">
        <f t="shared" si="20"/>
        <v>12925284.631449686</v>
      </c>
      <c r="J116" s="47">
        <f t="shared" si="52"/>
        <v>58212074.164541923</v>
      </c>
      <c r="K116" s="47">
        <f t="shared" si="13"/>
        <v>14184461.708095517</v>
      </c>
      <c r="M116" s="2">
        <f t="shared" si="14"/>
        <v>53044496.368469194</v>
      </c>
      <c r="N116" s="2">
        <f t="shared" si="15"/>
        <v>12925284.631449686</v>
      </c>
      <c r="O116">
        <f t="shared" si="53"/>
        <v>59244983.068348095</v>
      </c>
      <c r="P116" s="2">
        <f t="shared" si="22"/>
        <v>14436149.300476721</v>
      </c>
      <c r="R116" s="2">
        <f t="shared" si="16"/>
        <v>53044496.368469194</v>
      </c>
      <c r="S116" s="2">
        <f t="shared" si="6"/>
        <v>12925284.631449686</v>
      </c>
      <c r="T116">
        <f t="shared" si="54"/>
        <v>83973846.053158045</v>
      </c>
      <c r="U116" s="2">
        <f t="shared" ref="U116" si="58">T116/(1+0.04)^$B116</f>
        <v>20461799.736867379</v>
      </c>
    </row>
    <row r="117" spans="2:21" x14ac:dyDescent="0.45">
      <c r="B117" s="45">
        <v>37</v>
      </c>
      <c r="C117" s="47">
        <f>VLOOKUP($C$72,$X$46:$Y$48,2)*$D$77</f>
        <v>29328263.382181868</v>
      </c>
      <c r="D117" s="46">
        <f t="shared" si="9"/>
        <v>6871519.6658742363</v>
      </c>
      <c r="E117" s="47">
        <f t="shared" si="51"/>
        <v>40420529.980087645</v>
      </c>
      <c r="F117" s="47">
        <f t="shared" si="11"/>
        <v>9470402.7662263922</v>
      </c>
      <c r="H117" s="47">
        <f t="shared" si="12"/>
        <v>53044496.368469194</v>
      </c>
      <c r="I117" s="47">
        <f t="shared" si="20"/>
        <v>12428158.299470847</v>
      </c>
      <c r="J117" s="47">
        <f t="shared" si="52"/>
        <v>58212074.164541923</v>
      </c>
      <c r="K117" s="47">
        <f t="shared" si="13"/>
        <v>13638905.488553379</v>
      </c>
      <c r="M117" s="2">
        <f t="shared" si="14"/>
        <v>53044496.368469194</v>
      </c>
      <c r="N117" s="2">
        <f t="shared" si="15"/>
        <v>12428158.299470847</v>
      </c>
      <c r="O117">
        <f t="shared" si="53"/>
        <v>59244983.068348095</v>
      </c>
      <c r="P117" s="2">
        <f t="shared" si="22"/>
        <v>13880912.78891992</v>
      </c>
      <c r="R117" s="2">
        <f t="shared" si="16"/>
        <v>53044496.368469194</v>
      </c>
      <c r="S117" s="2">
        <f t="shared" si="6"/>
        <v>12428158.299470847</v>
      </c>
      <c r="T117">
        <f t="shared" si="54"/>
        <v>83973846.053158045</v>
      </c>
      <c r="U117" s="2">
        <f t="shared" ref="U117" si="59">T117/(1+0.04)^$B117</f>
        <v>19674807.439295549</v>
      </c>
    </row>
    <row r="118" spans="2:21" x14ac:dyDescent="0.45">
      <c r="B118" s="45">
        <v>38</v>
      </c>
      <c r="C118" s="47">
        <f t="shared" si="8"/>
        <v>29328263.382181868</v>
      </c>
      <c r="D118" s="46">
        <f t="shared" si="9"/>
        <v>6607230.4479559967</v>
      </c>
      <c r="E118" s="47">
        <f t="shared" si="51"/>
        <v>40420529.980087645</v>
      </c>
      <c r="F118" s="47">
        <f t="shared" si="11"/>
        <v>9106156.5059869178</v>
      </c>
      <c r="H118" s="47">
        <f t="shared" si="12"/>
        <v>53044496.368469194</v>
      </c>
      <c r="I118" s="47">
        <f t="shared" si="20"/>
        <v>11950152.211029664</v>
      </c>
      <c r="J118" s="47">
        <f t="shared" si="52"/>
        <v>58212074.164541923</v>
      </c>
      <c r="K118" s="47">
        <f t="shared" si="13"/>
        <v>13114332.200532097</v>
      </c>
      <c r="M118" s="2">
        <f t="shared" si="14"/>
        <v>53044496.368469194</v>
      </c>
      <c r="N118" s="2">
        <f t="shared" si="15"/>
        <v>11950152.211029664</v>
      </c>
      <c r="O118">
        <f t="shared" si="53"/>
        <v>59244983.068348095</v>
      </c>
      <c r="P118" s="2">
        <f t="shared" si="22"/>
        <v>13347031.527807618</v>
      </c>
      <c r="R118" s="2">
        <f t="shared" si="16"/>
        <v>53044496.368469194</v>
      </c>
      <c r="S118" s="2">
        <f t="shared" si="6"/>
        <v>11950152.211029664</v>
      </c>
      <c r="T118">
        <f t="shared" si="54"/>
        <v>83973846.053158045</v>
      </c>
      <c r="U118" s="2">
        <f t="shared" ref="U118" si="60">T118/(1+0.04)^$B118</f>
        <v>18918084.076245725</v>
      </c>
    </row>
    <row r="119" spans="2:21" x14ac:dyDescent="0.45">
      <c r="B119" s="45">
        <v>39</v>
      </c>
      <c r="C119" s="47">
        <f t="shared" si="8"/>
        <v>29328263.382181868</v>
      </c>
      <c r="D119" s="46">
        <f t="shared" si="9"/>
        <v>6353106.1999576902</v>
      </c>
      <c r="E119" s="47">
        <f t="shared" si="51"/>
        <v>40420529.980087645</v>
      </c>
      <c r="F119" s="47">
        <f t="shared" si="11"/>
        <v>8755919.717295114</v>
      </c>
      <c r="H119" s="47">
        <f t="shared" si="12"/>
        <v>53044496.368469194</v>
      </c>
      <c r="I119" s="47">
        <f t="shared" si="20"/>
        <v>11490530.972143909</v>
      </c>
      <c r="J119" s="47">
        <f t="shared" si="52"/>
        <v>58212074.164541923</v>
      </c>
      <c r="K119" s="47">
        <f t="shared" si="13"/>
        <v>12609934.808203939</v>
      </c>
      <c r="M119" s="2">
        <f t="shared" si="14"/>
        <v>53044496.368469194</v>
      </c>
      <c r="N119" s="2">
        <f t="shared" si="15"/>
        <v>11490530.972143909</v>
      </c>
      <c r="O119">
        <f t="shared" si="53"/>
        <v>59244983.068348095</v>
      </c>
      <c r="P119" s="2">
        <f t="shared" si="22"/>
        <v>12833684.161353478</v>
      </c>
      <c r="R119" s="2">
        <f t="shared" si="16"/>
        <v>53044496.368469194</v>
      </c>
      <c r="S119" s="2">
        <f t="shared" si="6"/>
        <v>11490530.972143909</v>
      </c>
      <c r="T119">
        <f t="shared" si="54"/>
        <v>83973846.053158045</v>
      </c>
      <c r="U119" s="2">
        <f t="shared" ref="U119" si="61">T119/(1+0.04)^$B119</f>
        <v>18190465.457928583</v>
      </c>
    </row>
    <row r="120" spans="2:21" x14ac:dyDescent="0.45">
      <c r="B120" s="45">
        <v>40</v>
      </c>
      <c r="C120" s="47">
        <f t="shared" si="8"/>
        <v>29328263.382181868</v>
      </c>
      <c r="D120" s="46">
        <f t="shared" si="9"/>
        <v>6108755.9614977771</v>
      </c>
      <c r="E120" s="47">
        <f t="shared" si="51"/>
        <v>40420529.980087645</v>
      </c>
      <c r="F120" s="47">
        <f t="shared" si="11"/>
        <v>8419153.5743222218</v>
      </c>
      <c r="H120" s="47">
        <f t="shared" si="12"/>
        <v>53044496.368469194</v>
      </c>
      <c r="I120" s="47">
        <f t="shared" si="20"/>
        <v>11048587.473215293</v>
      </c>
      <c r="J120" s="47">
        <f t="shared" si="52"/>
        <v>58212074.164541923</v>
      </c>
      <c r="K120" s="47">
        <f t="shared" si="13"/>
        <v>12124937.315580707</v>
      </c>
      <c r="M120" s="2">
        <f t="shared" si="14"/>
        <v>53044496.368469194</v>
      </c>
      <c r="N120" s="2">
        <f t="shared" si="15"/>
        <v>11048587.473215293</v>
      </c>
      <c r="O120">
        <f t="shared" si="53"/>
        <v>59244983.068348095</v>
      </c>
      <c r="P120" s="2">
        <f t="shared" si="22"/>
        <v>12340080.924378341</v>
      </c>
      <c r="R120" s="2">
        <f t="shared" si="16"/>
        <v>53044496.368469194</v>
      </c>
      <c r="S120" s="2">
        <f t="shared" si="6"/>
        <v>11048587.473215293</v>
      </c>
      <c r="T120">
        <f t="shared" si="54"/>
        <v>83973846.053158045</v>
      </c>
      <c r="U120" s="2">
        <f t="shared" ref="U120" si="62">T120/(1+0.04)^$B120</f>
        <v>17490832.171085171</v>
      </c>
    </row>
    <row r="121" spans="2:21" x14ac:dyDescent="0.45">
      <c r="B121" s="45">
        <v>41</v>
      </c>
      <c r="C121" s="47">
        <f t="shared" si="8"/>
        <v>29328263.382181868</v>
      </c>
      <c r="D121" s="46">
        <f t="shared" si="9"/>
        <v>5873803.8091324782</v>
      </c>
      <c r="E121" s="47">
        <f t="shared" si="51"/>
        <v>40420529.980087645</v>
      </c>
      <c r="F121" s="47">
        <f t="shared" si="11"/>
        <v>8095339.9753098292</v>
      </c>
      <c r="H121" s="47">
        <f t="shared" si="12"/>
        <v>53044496.368469194</v>
      </c>
      <c r="I121" s="47">
        <f t="shared" si="20"/>
        <v>10623641.801168552</v>
      </c>
      <c r="J121" s="47">
        <f t="shared" si="52"/>
        <v>58212074.164541923</v>
      </c>
      <c r="K121" s="47">
        <f t="shared" si="13"/>
        <v>11658593.572673757</v>
      </c>
      <c r="M121" s="2">
        <f t="shared" si="14"/>
        <v>53044496.368469194</v>
      </c>
      <c r="N121" s="2">
        <f t="shared" si="15"/>
        <v>10623641.801168552</v>
      </c>
      <c r="O121">
        <f t="shared" si="53"/>
        <v>59244983.068348095</v>
      </c>
      <c r="P121" s="2">
        <f t="shared" si="22"/>
        <v>11865462.427286867</v>
      </c>
      <c r="R121" s="2">
        <f t="shared" si="16"/>
        <v>53044496.368469194</v>
      </c>
      <c r="S121" s="2">
        <f t="shared" si="6"/>
        <v>10623641.801168552</v>
      </c>
      <c r="T121">
        <f t="shared" si="54"/>
        <v>83973846.053158045</v>
      </c>
      <c r="U121" s="2">
        <f t="shared" ref="U121" si="63">T121/(1+0.04)^$B121</f>
        <v>16818107.856812663</v>
      </c>
    </row>
    <row r="122" spans="2:21" x14ac:dyDescent="0.45">
      <c r="B122" s="45">
        <v>42</v>
      </c>
      <c r="C122" s="47">
        <f t="shared" si="8"/>
        <v>29328263.382181868</v>
      </c>
      <c r="D122" s="46">
        <f t="shared" si="9"/>
        <v>5647888.2780119982</v>
      </c>
      <c r="E122" s="47">
        <f t="shared" si="51"/>
        <v>40420529.980087645</v>
      </c>
      <c r="F122" s="47">
        <f t="shared" si="11"/>
        <v>7783980.7454902213</v>
      </c>
      <c r="H122" s="47">
        <f t="shared" si="12"/>
        <v>53044496.368469194</v>
      </c>
      <c r="I122" s="47">
        <f t="shared" si="20"/>
        <v>10215040.193431299</v>
      </c>
      <c r="J122" s="47">
        <f t="shared" si="52"/>
        <v>58212074.164541923</v>
      </c>
      <c r="K122" s="47">
        <f t="shared" si="13"/>
        <v>11210186.127570922</v>
      </c>
      <c r="M122" s="2">
        <f t="shared" si="14"/>
        <v>53044496.368469194</v>
      </c>
      <c r="N122" s="2">
        <f t="shared" si="15"/>
        <v>10215040.193431299</v>
      </c>
      <c r="O122">
        <f t="shared" si="53"/>
        <v>59244983.068348095</v>
      </c>
      <c r="P122" s="2">
        <f t="shared" si="22"/>
        <v>11409098.487775834</v>
      </c>
      <c r="R122" s="2">
        <f t="shared" si="16"/>
        <v>53044496.368469194</v>
      </c>
      <c r="S122" s="2">
        <f t="shared" si="6"/>
        <v>10215040.193431299</v>
      </c>
      <c r="T122">
        <f t="shared" si="54"/>
        <v>83973846.053158045</v>
      </c>
      <c r="U122" s="2">
        <f t="shared" ref="U122" si="64">T122/(1+0.04)^$B122</f>
        <v>16171257.554627562</v>
      </c>
    </row>
    <row r="123" spans="2:21" x14ac:dyDescent="0.45">
      <c r="B123" s="45">
        <v>43</v>
      </c>
      <c r="C123" s="47">
        <f t="shared" si="8"/>
        <v>29328263.382181868</v>
      </c>
      <c r="D123" s="46">
        <f t="shared" si="9"/>
        <v>5430661.8057807675</v>
      </c>
      <c r="E123" s="47">
        <f t="shared" si="51"/>
        <v>40420529.980087645</v>
      </c>
      <c r="F123" s="47">
        <f t="shared" si="11"/>
        <v>7484596.8706636736</v>
      </c>
      <c r="H123" s="47">
        <f t="shared" si="12"/>
        <v>53044496.368469194</v>
      </c>
      <c r="I123" s="47">
        <f t="shared" si="20"/>
        <v>9822154.0321454797</v>
      </c>
      <c r="J123" s="47">
        <f t="shared" si="52"/>
        <v>58212074.164541923</v>
      </c>
      <c r="K123" s="47">
        <f t="shared" si="13"/>
        <v>10779025.122664347</v>
      </c>
      <c r="M123" s="2">
        <f t="shared" si="14"/>
        <v>53044496.368469194</v>
      </c>
      <c r="N123" s="2">
        <f t="shared" si="15"/>
        <v>9822154.0321454797</v>
      </c>
      <c r="O123">
        <f t="shared" si="53"/>
        <v>59244983.068348095</v>
      </c>
      <c r="P123" s="2">
        <f t="shared" si="22"/>
        <v>10970287.007476762</v>
      </c>
      <c r="R123" s="2">
        <f t="shared" si="16"/>
        <v>53044496.368469194</v>
      </c>
      <c r="S123" s="2">
        <f t="shared" si="6"/>
        <v>9822154.0321454797</v>
      </c>
      <c r="T123">
        <f t="shared" si="54"/>
        <v>83973846.053158045</v>
      </c>
      <c r="U123" s="2">
        <f t="shared" ref="U123" si="65">T123/(1+0.04)^$B123</f>
        <v>15549286.110218808</v>
      </c>
    </row>
    <row r="124" spans="2:21" x14ac:dyDescent="0.45">
      <c r="B124" s="45">
        <v>44</v>
      </c>
      <c r="C124" s="47">
        <f t="shared" si="8"/>
        <v>29328263.382181868</v>
      </c>
      <c r="D124" s="46">
        <f t="shared" si="9"/>
        <v>5221790.1978661213</v>
      </c>
      <c r="E124" s="47">
        <f t="shared" si="51"/>
        <v>40420529.980087645</v>
      </c>
      <c r="F124" s="47">
        <f t="shared" si="11"/>
        <v>7196727.7602535309</v>
      </c>
      <c r="H124" s="47">
        <f t="shared" si="12"/>
        <v>53044496.368469194</v>
      </c>
      <c r="I124" s="47">
        <f t="shared" si="20"/>
        <v>9444378.8770629596</v>
      </c>
      <c r="J124" s="47">
        <f t="shared" si="52"/>
        <v>58212074.164541923</v>
      </c>
      <c r="K124" s="47">
        <f t="shared" si="13"/>
        <v>10364447.233331101</v>
      </c>
      <c r="M124" s="2">
        <f t="shared" si="14"/>
        <v>53044496.368469194</v>
      </c>
      <c r="N124" s="2">
        <f t="shared" si="15"/>
        <v>9444378.8770629596</v>
      </c>
      <c r="O124">
        <f t="shared" si="53"/>
        <v>59244983.068348095</v>
      </c>
      <c r="P124" s="2">
        <f t="shared" si="22"/>
        <v>10548352.891804578</v>
      </c>
      <c r="R124" s="2">
        <f t="shared" si="16"/>
        <v>53044496.368469194</v>
      </c>
      <c r="S124" s="2">
        <f t="shared" si="6"/>
        <v>9444378.8770629596</v>
      </c>
      <c r="T124">
        <f t="shared" si="54"/>
        <v>83973846.053158045</v>
      </c>
      <c r="U124" s="2">
        <f t="shared" ref="U124" si="66">T124/(1+0.04)^$B124</f>
        <v>14951236.644441159</v>
      </c>
    </row>
    <row r="125" spans="2:21" x14ac:dyDescent="0.45">
      <c r="B125" s="45">
        <v>45</v>
      </c>
      <c r="C125" s="47">
        <f t="shared" si="8"/>
        <v>29328263.382181868</v>
      </c>
      <c r="D125" s="46">
        <f t="shared" si="9"/>
        <v>5020952.1133328089</v>
      </c>
      <c r="E125" s="47">
        <f t="shared" si="51"/>
        <v>40420529.980087645</v>
      </c>
      <c r="F125" s="47">
        <f t="shared" si="11"/>
        <v>6919930.5387053182</v>
      </c>
      <c r="H125" s="47">
        <f t="shared" si="12"/>
        <v>53044496.368469194</v>
      </c>
      <c r="I125" s="47">
        <f t="shared" si="20"/>
        <v>9081133.5356374606</v>
      </c>
      <c r="J125" s="47">
        <f t="shared" si="52"/>
        <v>58212074.164541923</v>
      </c>
      <c r="K125" s="47">
        <f t="shared" si="13"/>
        <v>9965814.6474337503</v>
      </c>
      <c r="M125" s="2">
        <f t="shared" si="14"/>
        <v>53044496.368469194</v>
      </c>
      <c r="N125" s="2">
        <f t="shared" si="15"/>
        <v>9081133.5356374606</v>
      </c>
      <c r="O125">
        <f t="shared" si="53"/>
        <v>59244983.068348095</v>
      </c>
      <c r="P125" s="2">
        <f t="shared" si="22"/>
        <v>10142647.011350555</v>
      </c>
      <c r="R125" s="2">
        <f t="shared" si="16"/>
        <v>53044496.368469194</v>
      </c>
      <c r="S125" s="2">
        <f t="shared" si="6"/>
        <v>9081133.5356374606</v>
      </c>
      <c r="T125">
        <f t="shared" si="54"/>
        <v>83973846.053158045</v>
      </c>
      <c r="U125" s="2">
        <f t="shared" ref="U125" si="67">T125/(1+0.04)^$B125</f>
        <v>14376189.081193423</v>
      </c>
    </row>
    <row r="126" spans="2:21" x14ac:dyDescent="0.45">
      <c r="B126" s="45">
        <v>46</v>
      </c>
      <c r="C126" s="47">
        <f t="shared" si="8"/>
        <v>29328263.382181868</v>
      </c>
      <c r="D126" s="46">
        <f t="shared" si="9"/>
        <v>4827838.5705123162</v>
      </c>
      <c r="E126" s="47">
        <f t="shared" si="51"/>
        <v>40420529.980087645</v>
      </c>
      <c r="F126" s="47">
        <f t="shared" si="11"/>
        <v>6653779.3641397292</v>
      </c>
      <c r="H126" s="47">
        <f t="shared" si="12"/>
        <v>53044496.368469194</v>
      </c>
      <c r="I126" s="47">
        <f t="shared" si="20"/>
        <v>8731859.1688821744</v>
      </c>
      <c r="J126" s="47">
        <f t="shared" si="52"/>
        <v>58212074.164541923</v>
      </c>
      <c r="K126" s="47">
        <f t="shared" si="13"/>
        <v>9582514.0840709154</v>
      </c>
      <c r="M126" s="2">
        <f t="shared" si="14"/>
        <v>53044496.368469194</v>
      </c>
      <c r="N126" s="2">
        <f t="shared" si="15"/>
        <v>8731859.1688821744</v>
      </c>
      <c r="O126">
        <f t="shared" si="53"/>
        <v>59244983.068348095</v>
      </c>
      <c r="P126" s="2">
        <f t="shared" si="22"/>
        <v>9752545.203221688</v>
      </c>
      <c r="R126" s="2">
        <f t="shared" si="16"/>
        <v>53044496.368469194</v>
      </c>
      <c r="S126" s="2">
        <f t="shared" si="6"/>
        <v>8731859.1688821744</v>
      </c>
      <c r="T126">
        <f t="shared" si="54"/>
        <v>83973846.053158045</v>
      </c>
      <c r="U126" s="2">
        <f t="shared" ref="U126" si="68">T126/(1+0.04)^$B126</f>
        <v>13823258.731916754</v>
      </c>
    </row>
    <row r="127" spans="2:21" x14ac:dyDescent="0.45">
      <c r="B127" s="45">
        <v>47</v>
      </c>
      <c r="C127" s="47">
        <f t="shared" si="8"/>
        <v>29328263.382181868</v>
      </c>
      <c r="D127" s="46">
        <f t="shared" si="9"/>
        <v>4642152.4716464579</v>
      </c>
      <c r="E127" s="47">
        <f t="shared" si="51"/>
        <v>40420529.980087645</v>
      </c>
      <c r="F127" s="47">
        <f t="shared" si="11"/>
        <v>6397864.773211278</v>
      </c>
      <c r="H127" s="47">
        <f t="shared" si="12"/>
        <v>53044496.368469194</v>
      </c>
      <c r="I127" s="47">
        <f t="shared" si="20"/>
        <v>8396018.431617476</v>
      </c>
      <c r="J127" s="47">
        <f t="shared" si="52"/>
        <v>58212074.164541923</v>
      </c>
      <c r="K127" s="47">
        <f t="shared" si="13"/>
        <v>9213955.8500681873</v>
      </c>
      <c r="M127" s="2">
        <f t="shared" si="14"/>
        <v>53044496.368469194</v>
      </c>
      <c r="N127" s="2">
        <f t="shared" si="15"/>
        <v>8396018.431617476</v>
      </c>
      <c r="O127">
        <f t="shared" si="53"/>
        <v>59244983.068348095</v>
      </c>
      <c r="P127" s="2">
        <f t="shared" si="22"/>
        <v>9377447.3107900843</v>
      </c>
      <c r="R127" s="2">
        <f t="shared" si="16"/>
        <v>53044496.368469194</v>
      </c>
      <c r="S127" s="2">
        <f t="shared" si="6"/>
        <v>8396018.431617476</v>
      </c>
      <c r="T127">
        <f t="shared" si="54"/>
        <v>83973846.053158045</v>
      </c>
      <c r="U127" s="2">
        <f t="shared" ref="U127" si="69">T127/(1+0.04)^$B127</f>
        <v>13291594.934535339</v>
      </c>
    </row>
    <row r="128" spans="2:21" x14ac:dyDescent="0.45">
      <c r="B128" s="45">
        <v>48</v>
      </c>
      <c r="C128" s="47">
        <f t="shared" si="8"/>
        <v>29328263.382181868</v>
      </c>
      <c r="D128" s="46">
        <f t="shared" si="9"/>
        <v>4463608.1458139019</v>
      </c>
      <c r="E128" s="47">
        <f t="shared" si="51"/>
        <v>40420529.980087645</v>
      </c>
      <c r="F128" s="47">
        <f t="shared" si="11"/>
        <v>6151793.0511646895</v>
      </c>
      <c r="H128" s="47">
        <f t="shared" si="12"/>
        <v>53044496.368469194</v>
      </c>
      <c r="I128" s="47">
        <f t="shared" si="20"/>
        <v>8073094.645786033</v>
      </c>
      <c r="J128" s="47">
        <f t="shared" si="52"/>
        <v>58212074.164541923</v>
      </c>
      <c r="K128" s="47">
        <f t="shared" si="13"/>
        <v>8859572.9327578712</v>
      </c>
      <c r="M128" s="2">
        <f t="shared" si="14"/>
        <v>53044496.368469194</v>
      </c>
      <c r="N128" s="2">
        <f t="shared" si="15"/>
        <v>8073094.645786033</v>
      </c>
      <c r="O128">
        <f t="shared" si="53"/>
        <v>59244983.068348095</v>
      </c>
      <c r="P128" s="2">
        <f t="shared" si="22"/>
        <v>9016776.2603750806</v>
      </c>
      <c r="R128" s="2">
        <f t="shared" si="16"/>
        <v>53044496.368469194</v>
      </c>
      <c r="S128" s="2">
        <f t="shared" si="6"/>
        <v>8073094.645786033</v>
      </c>
      <c r="T128">
        <f t="shared" si="54"/>
        <v>83973846.053158045</v>
      </c>
      <c r="U128" s="2">
        <f t="shared" ref="U128" si="70">T128/(1+0.04)^$B128</f>
        <v>12780379.744745517</v>
      </c>
    </row>
    <row r="129" spans="2:21" x14ac:dyDescent="0.45">
      <c r="B129" s="45">
        <v>49</v>
      </c>
      <c r="C129" s="47">
        <f t="shared" si="8"/>
        <v>29328263.382181868</v>
      </c>
      <c r="D129" s="46">
        <f t="shared" si="9"/>
        <v>4291930.9094364438</v>
      </c>
      <c r="E129" s="47">
        <f t="shared" si="51"/>
        <v>40420529.980087645</v>
      </c>
      <c r="F129" s="47">
        <f t="shared" si="11"/>
        <v>5915185.626119894</v>
      </c>
      <c r="H129" s="47">
        <f t="shared" si="12"/>
        <v>53044496.368469194</v>
      </c>
      <c r="I129" s="47">
        <f t="shared" si="20"/>
        <v>7762591.0055634929</v>
      </c>
      <c r="J129" s="47">
        <f t="shared" si="52"/>
        <v>58212074.164541923</v>
      </c>
      <c r="K129" s="47">
        <f t="shared" si="13"/>
        <v>8518820.1276517995</v>
      </c>
      <c r="M129" s="2">
        <f t="shared" si="14"/>
        <v>53044496.368469194</v>
      </c>
      <c r="N129" s="2">
        <f t="shared" si="15"/>
        <v>7762591.0055634929</v>
      </c>
      <c r="O129">
        <f t="shared" si="53"/>
        <v>59244983.068348095</v>
      </c>
      <c r="P129" s="2">
        <f t="shared" si="22"/>
        <v>8669977.1734375767</v>
      </c>
      <c r="R129" s="2">
        <f t="shared" si="16"/>
        <v>53044496.368469194</v>
      </c>
      <c r="S129" s="2">
        <f t="shared" si="6"/>
        <v>7762591.0055634929</v>
      </c>
      <c r="T129">
        <f t="shared" si="54"/>
        <v>83973846.053158045</v>
      </c>
      <c r="U129" s="2">
        <f t="shared" ref="U129" si="71">T129/(1+0.04)^$B129</f>
        <v>12288826.67763992</v>
      </c>
    </row>
    <row r="130" spans="2:21" x14ac:dyDescent="0.45">
      <c r="B130" s="45">
        <v>50</v>
      </c>
      <c r="C130" s="47">
        <f t="shared" si="8"/>
        <v>29328263.382181868</v>
      </c>
      <c r="D130" s="46">
        <f t="shared" si="9"/>
        <v>4126856.6436888878</v>
      </c>
      <c r="E130" s="47">
        <f t="shared" si="51"/>
        <v>40420529.980087645</v>
      </c>
      <c r="F130" s="47">
        <f t="shared" si="11"/>
        <v>5687678.4866537433</v>
      </c>
      <c r="H130" s="47">
        <f t="shared" si="12"/>
        <v>53044496.368469194</v>
      </c>
      <c r="I130" s="47">
        <f t="shared" si="20"/>
        <v>7464029.8130418193</v>
      </c>
      <c r="J130" s="47">
        <f>$C$71*SUM($I$80:$I$130)</f>
        <v>58212074.164541923</v>
      </c>
      <c r="K130" s="47">
        <f t="shared" si="13"/>
        <v>8191173.1996651897</v>
      </c>
      <c r="M130" s="2">
        <f t="shared" si="14"/>
        <v>53044496.368469194</v>
      </c>
      <c r="N130" s="2">
        <f t="shared" si="15"/>
        <v>7464029.8130418193</v>
      </c>
      <c r="O130">
        <f t="shared" si="53"/>
        <v>59244983.068348095</v>
      </c>
      <c r="P130" s="2">
        <f t="shared" si="22"/>
        <v>8336516.5129207456</v>
      </c>
      <c r="R130" s="2">
        <f t="shared" si="16"/>
        <v>53044496.368469194</v>
      </c>
      <c r="S130" s="2">
        <f t="shared" si="6"/>
        <v>7464029.8130418193</v>
      </c>
      <c r="T130">
        <f t="shared" si="54"/>
        <v>83973846.053158045</v>
      </c>
      <c r="U130" s="2">
        <f t="shared" ref="U130" si="72">T130/(1+0.04)^$B130</f>
        <v>11816179.497730691</v>
      </c>
    </row>
    <row r="131" spans="2:21" x14ac:dyDescent="0.45">
      <c r="D131" s="2"/>
      <c r="E131" s="2"/>
      <c r="F131" s="2"/>
      <c r="I131" s="64"/>
      <c r="K131" s="2"/>
      <c r="N131" s="2"/>
      <c r="P131" s="2"/>
      <c r="S131" s="2"/>
      <c r="T131" s="2"/>
      <c r="U131" s="2"/>
    </row>
    <row r="132" spans="2:21" x14ac:dyDescent="0.45">
      <c r="D132" s="43"/>
    </row>
    <row r="133" spans="2:21" s="130" customFormat="1" x14ac:dyDescent="0.45">
      <c r="B133" s="130" t="s">
        <v>1032</v>
      </c>
    </row>
    <row r="136" spans="2:21" x14ac:dyDescent="0.45">
      <c r="B136" t="s">
        <v>521</v>
      </c>
    </row>
    <row r="137" spans="2:21" x14ac:dyDescent="0.45">
      <c r="B137" s="15" t="s">
        <v>516</v>
      </c>
      <c r="C137" s="15" t="s">
        <v>518</v>
      </c>
      <c r="D137" s="15" t="s">
        <v>517</v>
      </c>
      <c r="E137" s="15" t="s">
        <v>1036</v>
      </c>
      <c r="F137" s="133" t="s">
        <v>1038</v>
      </c>
      <c r="G137" s="26">
        <v>15</v>
      </c>
      <c r="H137" s="133" t="s">
        <v>1039</v>
      </c>
    </row>
    <row r="138" spans="2:21" x14ac:dyDescent="0.45">
      <c r="B138" s="15">
        <v>1</v>
      </c>
      <c r="C138" s="15" t="s">
        <v>333</v>
      </c>
      <c r="D138" s="15" t="s">
        <v>519</v>
      </c>
      <c r="E138" s="131">
        <v>207568.62108250899</v>
      </c>
      <c r="F138" s="2">
        <v>12830596.567159474</v>
      </c>
      <c r="G138" s="2">
        <f>H138*$C$73</f>
        <v>43674496.635565527</v>
      </c>
      <c r="H138" s="2">
        <f t="shared" ref="H138:H146" si="73">F138/1000*3600</f>
        <v>46190147.641774103</v>
      </c>
    </row>
    <row r="139" spans="2:21" x14ac:dyDescent="0.45">
      <c r="B139" s="15">
        <v>2</v>
      </c>
      <c r="C139" s="15" t="s">
        <v>393</v>
      </c>
      <c r="D139" s="15" t="s">
        <v>519</v>
      </c>
      <c r="E139" s="131">
        <v>169705.32431508499</v>
      </c>
      <c r="F139" s="2">
        <v>10486545.271236109</v>
      </c>
      <c r="G139" s="2">
        <f t="shared" ref="G139:G146" si="74">H139*$C$73</f>
        <v>35695502.057914138</v>
      </c>
      <c r="H139" s="2">
        <f t="shared" si="73"/>
        <v>37751562.976449996</v>
      </c>
    </row>
    <row r="140" spans="2:21" x14ac:dyDescent="0.45">
      <c r="B140" s="15">
        <v>3</v>
      </c>
      <c r="C140" s="15" t="s">
        <v>416</v>
      </c>
      <c r="D140" s="15" t="s">
        <v>519</v>
      </c>
      <c r="E140" s="131">
        <v>424155.482181617</v>
      </c>
      <c r="F140" s="2">
        <v>26154677.617671251</v>
      </c>
      <c r="G140" s="2">
        <f t="shared" si="74"/>
        <v>89028781.603268251</v>
      </c>
      <c r="H140" s="2">
        <f t="shared" si="73"/>
        <v>94156839.423616514</v>
      </c>
    </row>
    <row r="141" spans="2:21" x14ac:dyDescent="0.45">
      <c r="B141" s="15">
        <v>4</v>
      </c>
      <c r="C141" s="15" t="s">
        <v>332</v>
      </c>
      <c r="D141" s="15" t="s">
        <v>519</v>
      </c>
      <c r="E141" s="131">
        <v>179943.29695757799</v>
      </c>
      <c r="F141" s="2">
        <v>11103400.875426475</v>
      </c>
      <c r="G141" s="2">
        <f t="shared" si="74"/>
        <v>37795237.473085575</v>
      </c>
      <c r="H141" s="2">
        <f t="shared" si="73"/>
        <v>39972243.15153531</v>
      </c>
    </row>
    <row r="142" spans="2:21" x14ac:dyDescent="0.45">
      <c r="B142" s="33">
        <v>5</v>
      </c>
      <c r="C142" s="33" t="s">
        <v>1033</v>
      </c>
      <c r="D142" s="33" t="s">
        <v>519</v>
      </c>
      <c r="E142" s="2">
        <v>393029.67354279099</v>
      </c>
      <c r="F142" s="2">
        <v>24242425.244681131</v>
      </c>
      <c r="G142" s="2">
        <f t="shared" si="74"/>
        <v>82519601.816236824</v>
      </c>
      <c r="H142" s="2">
        <f t="shared" si="73"/>
        <v>87272730.880852073</v>
      </c>
    </row>
    <row r="143" spans="2:21" x14ac:dyDescent="0.45">
      <c r="B143" s="33">
        <v>6</v>
      </c>
      <c r="C143" s="33" t="s">
        <v>1034</v>
      </c>
      <c r="D143" s="33" t="s">
        <v>519</v>
      </c>
      <c r="E143" s="132">
        <v>266231</v>
      </c>
      <c r="F143" s="2">
        <v>16408359.071463568</v>
      </c>
      <c r="G143" s="2">
        <f t="shared" si="74"/>
        <v>55852962.043559797</v>
      </c>
      <c r="H143" s="2">
        <f t="shared" si="73"/>
        <v>59070092.657268845</v>
      </c>
    </row>
    <row r="144" spans="2:21" x14ac:dyDescent="0.45">
      <c r="B144" s="33">
        <v>7</v>
      </c>
      <c r="C144" s="33" t="s">
        <v>1035</v>
      </c>
      <c r="D144" s="33" t="s">
        <v>519</v>
      </c>
      <c r="E144" s="132">
        <v>232665</v>
      </c>
      <c r="F144" s="2">
        <v>14372735.577635374</v>
      </c>
      <c r="G144" s="2">
        <f t="shared" si="74"/>
        <v>48923835.173494086</v>
      </c>
      <c r="H144" s="2">
        <f t="shared" si="73"/>
        <v>51741848.079487346</v>
      </c>
    </row>
    <row r="145" spans="2:12" x14ac:dyDescent="0.45">
      <c r="B145" s="33">
        <v>8</v>
      </c>
      <c r="C145" s="33" t="s">
        <v>362</v>
      </c>
      <c r="D145" s="33" t="s">
        <v>519</v>
      </c>
      <c r="E145" s="132">
        <v>173981</v>
      </c>
      <c r="F145" s="2">
        <v>10733287.51291226</v>
      </c>
      <c r="G145" s="2">
        <f t="shared" si="74"/>
        <v>36535396.223982729</v>
      </c>
      <c r="H145" s="2">
        <f t="shared" si="73"/>
        <v>38639835.046484135</v>
      </c>
    </row>
    <row r="146" spans="2:12" x14ac:dyDescent="0.45">
      <c r="B146" s="33">
        <v>9</v>
      </c>
      <c r="C146" s="33" t="s">
        <v>1037</v>
      </c>
      <c r="D146" s="33" t="s">
        <v>519</v>
      </c>
      <c r="E146" s="132">
        <v>181791</v>
      </c>
      <c r="F146" s="2">
        <v>11226771.996264543</v>
      </c>
      <c r="G146" s="2">
        <f t="shared" si="74"/>
        <v>38215184.556119852</v>
      </c>
      <c r="H146" s="2">
        <f t="shared" si="73"/>
        <v>40416379.186552361</v>
      </c>
    </row>
    <row r="152" spans="2:12" s="130" customFormat="1" x14ac:dyDescent="0.45">
      <c r="B152" s="130" t="s">
        <v>1056</v>
      </c>
    </row>
    <row r="154" spans="2:12" x14ac:dyDescent="0.45">
      <c r="J154" t="s">
        <v>522</v>
      </c>
      <c r="K154" t="s">
        <v>1081</v>
      </c>
      <c r="L154" t="s">
        <v>523</v>
      </c>
    </row>
    <row r="155" spans="2:12" ht="28.5" x14ac:dyDescent="0.45">
      <c r="B155" s="15" t="s">
        <v>1046</v>
      </c>
      <c r="C155" s="15" t="s">
        <v>516</v>
      </c>
      <c r="D155" s="15" t="s">
        <v>518</v>
      </c>
      <c r="E155" s="15" t="s">
        <v>520</v>
      </c>
      <c r="F155" s="15" t="s">
        <v>1057</v>
      </c>
      <c r="G155" s="15" t="s">
        <v>479</v>
      </c>
      <c r="H155" s="15" t="s">
        <v>1079</v>
      </c>
      <c r="I155" s="33" t="s">
        <v>1080</v>
      </c>
      <c r="K155" s="33" t="s">
        <v>1083</v>
      </c>
    </row>
    <row r="156" spans="2:12" x14ac:dyDescent="0.45">
      <c r="B156" s="15">
        <v>6</v>
      </c>
      <c r="C156" s="15">
        <v>16</v>
      </c>
      <c r="D156" s="15" t="s">
        <v>358</v>
      </c>
      <c r="E156" s="15">
        <v>320479.86732844199</v>
      </c>
      <c r="F156" s="15"/>
      <c r="G156" s="15"/>
      <c r="H156" s="15">
        <v>295442.81043831102</v>
      </c>
    </row>
    <row r="157" spans="2:12" x14ac:dyDescent="0.45">
      <c r="B157" s="15">
        <v>7</v>
      </c>
      <c r="C157" s="15">
        <v>14</v>
      </c>
      <c r="D157" s="15" t="s">
        <v>365</v>
      </c>
      <c r="E157" s="15">
        <v>288798.75526960799</v>
      </c>
      <c r="F157" s="15"/>
      <c r="G157" s="15"/>
      <c r="H157" s="15">
        <v>288798.75526960799</v>
      </c>
    </row>
    <row r="158" spans="2:12" x14ac:dyDescent="0.45">
      <c r="B158" s="15">
        <v>8</v>
      </c>
      <c r="C158" s="15">
        <v>15</v>
      </c>
      <c r="D158" s="15" t="s">
        <v>368</v>
      </c>
      <c r="E158" s="15">
        <v>461257.57895980898</v>
      </c>
      <c r="F158" s="15"/>
      <c r="G158" s="15"/>
      <c r="H158" s="15">
        <v>461257.57895980898</v>
      </c>
    </row>
    <row r="159" spans="2:12" x14ac:dyDescent="0.45">
      <c r="B159" s="15">
        <v>9</v>
      </c>
      <c r="C159" s="15">
        <v>13</v>
      </c>
      <c r="D159" s="15" t="s">
        <v>370</v>
      </c>
      <c r="E159" s="15">
        <v>405357.163642734</v>
      </c>
      <c r="F159" s="15"/>
      <c r="G159" s="15"/>
      <c r="H159" s="15">
        <v>405357.163642734</v>
      </c>
    </row>
    <row r="160" spans="2:12" x14ac:dyDescent="0.45">
      <c r="B160" s="15">
        <v>10</v>
      </c>
      <c r="C160" s="15">
        <v>11</v>
      </c>
      <c r="D160" s="15" t="s">
        <v>385</v>
      </c>
      <c r="E160" s="15">
        <v>263352.08835371898</v>
      </c>
      <c r="F160" s="15"/>
      <c r="G160" s="15"/>
      <c r="H160" s="15">
        <v>263352.08835371898</v>
      </c>
    </row>
    <row r="161" spans="2:25" x14ac:dyDescent="0.45">
      <c r="B161" s="15">
        <v>11</v>
      </c>
      <c r="C161" s="15">
        <v>9</v>
      </c>
      <c r="D161" s="15" t="s">
        <v>426</v>
      </c>
      <c r="E161" s="15">
        <v>759670.21327135398</v>
      </c>
      <c r="F161" s="15"/>
      <c r="G161" s="15"/>
      <c r="H161" s="15">
        <v>759670.21327135398</v>
      </c>
    </row>
    <row r="162" spans="2:25" x14ac:dyDescent="0.45">
      <c r="B162" s="15">
        <v>12</v>
      </c>
      <c r="C162" s="15">
        <v>18</v>
      </c>
      <c r="D162" s="15" t="s">
        <v>420</v>
      </c>
      <c r="E162" s="15">
        <v>595843.373818147</v>
      </c>
      <c r="F162" s="15" t="s">
        <v>1058</v>
      </c>
      <c r="G162" s="15"/>
      <c r="H162" s="15">
        <v>595843.373818147</v>
      </c>
    </row>
    <row r="163" spans="2:25" x14ac:dyDescent="0.45">
      <c r="B163" s="15">
        <v>13</v>
      </c>
      <c r="C163" s="15">
        <v>12</v>
      </c>
      <c r="D163" s="15" t="s">
        <v>377</v>
      </c>
      <c r="E163" s="15">
        <v>282614.65620750602</v>
      </c>
      <c r="F163" s="15"/>
      <c r="G163" s="15"/>
      <c r="H163" s="15">
        <v>282614.65620750602</v>
      </c>
    </row>
    <row r="164" spans="2:25" x14ac:dyDescent="0.45">
      <c r="B164" s="15">
        <v>14</v>
      </c>
      <c r="C164" s="15">
        <v>17</v>
      </c>
      <c r="D164" s="15" t="s">
        <v>407</v>
      </c>
      <c r="E164" s="15">
        <v>406639.934154224</v>
      </c>
      <c r="F164" s="15" t="s">
        <v>1058</v>
      </c>
      <c r="G164" s="15"/>
      <c r="H164" s="15">
        <v>406639.934154224</v>
      </c>
    </row>
    <row r="165" spans="2:25" x14ac:dyDescent="0.45">
      <c r="B165" s="15">
        <v>15</v>
      </c>
      <c r="C165" s="15">
        <v>5</v>
      </c>
      <c r="D165" s="15" t="s">
        <v>406</v>
      </c>
      <c r="E165" s="15">
        <v>261651.90404992699</v>
      </c>
      <c r="F165" s="15"/>
      <c r="G165" s="15"/>
      <c r="H165" s="15">
        <v>261651.90404992699</v>
      </c>
    </row>
    <row r="166" spans="2:25" x14ac:dyDescent="0.45">
      <c r="B166" s="15">
        <v>16</v>
      </c>
      <c r="C166" s="15">
        <v>7</v>
      </c>
      <c r="D166" s="15" t="s">
        <v>394</v>
      </c>
      <c r="E166" s="15">
        <v>231085.829171324</v>
      </c>
      <c r="F166" s="15"/>
      <c r="G166" s="15"/>
      <c r="H166" s="15">
        <v>231085.829171324</v>
      </c>
    </row>
    <row r="167" spans="2:25" x14ac:dyDescent="0.45">
      <c r="B167" s="15">
        <v>17</v>
      </c>
      <c r="C167" s="15">
        <v>8</v>
      </c>
      <c r="D167" s="15" t="s">
        <v>393</v>
      </c>
      <c r="E167" s="15">
        <v>226292.200843022</v>
      </c>
      <c r="F167" s="15"/>
      <c r="G167" s="15"/>
      <c r="H167" s="15">
        <v>226292.200843022</v>
      </c>
    </row>
    <row r="168" spans="2:25" x14ac:dyDescent="0.45">
      <c r="B168" s="15">
        <v>18</v>
      </c>
      <c r="C168" s="15">
        <v>6</v>
      </c>
      <c r="D168" s="15" t="s">
        <v>404</v>
      </c>
      <c r="E168" s="15">
        <v>221157.26907178701</v>
      </c>
      <c r="F168" s="15"/>
      <c r="G168" s="15"/>
      <c r="H168" s="15">
        <v>221157.26907178701</v>
      </c>
    </row>
    <row r="169" spans="2:25" x14ac:dyDescent="0.45">
      <c r="B169" s="15">
        <v>19</v>
      </c>
      <c r="C169" s="15">
        <v>10</v>
      </c>
      <c r="D169" s="15" t="s">
        <v>416</v>
      </c>
      <c r="E169" s="15">
        <v>296345.49050928099</v>
      </c>
      <c r="F169" s="15"/>
      <c r="G169" s="15"/>
      <c r="H169" s="15">
        <v>296345.49050928099</v>
      </c>
    </row>
    <row r="170" spans="2:25" x14ac:dyDescent="0.45">
      <c r="B170" s="15">
        <v>20</v>
      </c>
      <c r="C170" s="15">
        <v>2</v>
      </c>
      <c r="D170" s="15" t="s">
        <v>340</v>
      </c>
      <c r="E170" s="15">
        <v>336941.32932115602</v>
      </c>
      <c r="F170" s="15"/>
      <c r="G170" s="15"/>
      <c r="H170" s="15">
        <v>363234.82670819602</v>
      </c>
    </row>
    <row r="171" spans="2:25" x14ac:dyDescent="0.45">
      <c r="B171" s="15">
        <v>21</v>
      </c>
      <c r="C171" s="15">
        <v>4</v>
      </c>
      <c r="D171" s="15" t="s">
        <v>332</v>
      </c>
      <c r="E171" s="15">
        <v>0</v>
      </c>
      <c r="F171" s="15"/>
      <c r="G171" s="15"/>
      <c r="H171" s="15">
        <v>223071.76322177399</v>
      </c>
    </row>
    <row r="172" spans="2:25" x14ac:dyDescent="0.45">
      <c r="B172" s="15">
        <v>22</v>
      </c>
      <c r="C172" s="15">
        <v>3</v>
      </c>
      <c r="D172" s="15" t="s">
        <v>335</v>
      </c>
      <c r="E172" s="15">
        <v>0</v>
      </c>
      <c r="F172" s="15"/>
      <c r="G172" s="15"/>
      <c r="H172" s="15">
        <v>618159.11829290399</v>
      </c>
      <c r="R172" s="12" t="s">
        <v>1162</v>
      </c>
    </row>
    <row r="173" spans="2:25" x14ac:dyDescent="0.45">
      <c r="B173" s="15">
        <v>23</v>
      </c>
      <c r="C173" s="15">
        <v>1</v>
      </c>
      <c r="D173" s="15" t="s">
        <v>329</v>
      </c>
      <c r="E173" s="15">
        <v>0</v>
      </c>
      <c r="F173" s="15"/>
      <c r="G173" s="15"/>
      <c r="H173" s="15">
        <v>178075.48940944299</v>
      </c>
      <c r="S173" t="s">
        <v>1163</v>
      </c>
    </row>
    <row r="174" spans="2:25" x14ac:dyDescent="0.45">
      <c r="B174" s="15">
        <v>24</v>
      </c>
      <c r="C174" s="15">
        <v>3245</v>
      </c>
      <c r="D174" s="15" t="s">
        <v>1059</v>
      </c>
      <c r="E174" s="15">
        <v>0</v>
      </c>
      <c r="F174" s="15"/>
      <c r="G174" s="15" t="s">
        <v>519</v>
      </c>
      <c r="H174" s="15">
        <v>638000.59857608203</v>
      </c>
      <c r="I174">
        <f>H174/1000</f>
        <v>638.00059857608198</v>
      </c>
      <c r="J174" s="2">
        <v>29782760.562117387</v>
      </c>
      <c r="K174" s="47">
        <v>39355424.470846012</v>
      </c>
      <c r="L174" s="2">
        <v>67101809.971215002</v>
      </c>
      <c r="M174" s="138" t="s">
        <v>1059</v>
      </c>
      <c r="N174" t="s">
        <v>1095</v>
      </c>
      <c r="R174">
        <v>2.2000000000000001E-3</v>
      </c>
      <c r="S174">
        <f>$R$174*H174/1000/100</f>
        <v>1.4036013168673806E-2</v>
      </c>
      <c r="X174">
        <f>1-S174</f>
        <v>0.98596398683132624</v>
      </c>
    </row>
    <row r="175" spans="2:25" x14ac:dyDescent="0.45">
      <c r="B175" s="15">
        <v>25</v>
      </c>
      <c r="C175" s="15">
        <v>3546</v>
      </c>
      <c r="D175" s="15" t="s">
        <v>1060</v>
      </c>
      <c r="E175" s="15">
        <v>0</v>
      </c>
      <c r="F175" s="15"/>
      <c r="G175" s="15" t="s">
        <v>519</v>
      </c>
      <c r="H175" s="15">
        <v>643988.72587542306</v>
      </c>
      <c r="I175">
        <f t="shared" ref="I175:I198" si="75">H175/1000</f>
        <v>643.98872587542303</v>
      </c>
      <c r="J175" s="47">
        <v>30062294.722382732</v>
      </c>
      <c r="K175" s="47">
        <v>39724805.45916637</v>
      </c>
      <c r="L175" s="47">
        <v>67731612.170492902</v>
      </c>
      <c r="M175" s="138" t="s">
        <v>1060</v>
      </c>
      <c r="N175" t="s">
        <v>1097</v>
      </c>
      <c r="S175">
        <f t="shared" ref="S175:S198" si="76">$R$174*H175/1000/100</f>
        <v>1.4167751969259311E-2</v>
      </c>
      <c r="T175">
        <f>AVERAGE(S175,S198)</f>
        <v>1.3172127850710667E-2</v>
      </c>
      <c r="U175" t="s">
        <v>1097</v>
      </c>
      <c r="Y175">
        <f t="shared" ref="X175:Y198" si="77">1-T175</f>
        <v>0.98682787214928935</v>
      </c>
    </row>
    <row r="176" spans="2:25" x14ac:dyDescent="0.45">
      <c r="B176" s="15">
        <v>26</v>
      </c>
      <c r="C176" s="15">
        <v>0</v>
      </c>
      <c r="D176" s="15" t="s">
        <v>1061</v>
      </c>
      <c r="E176" s="15">
        <v>0</v>
      </c>
      <c r="F176" s="15"/>
      <c r="G176" s="15" t="s">
        <v>519</v>
      </c>
      <c r="H176" s="15">
        <v>291863.88121924503</v>
      </c>
      <c r="I176">
        <f t="shared" si="75"/>
        <v>291.863881219245</v>
      </c>
      <c r="J176" s="2">
        <v>13624614.319302171</v>
      </c>
      <c r="K176" s="2">
        <v>18003787.079084072</v>
      </c>
      <c r="L176" s="2">
        <v>30696828.088789918</v>
      </c>
      <c r="M176" s="138" t="s">
        <v>1061</v>
      </c>
      <c r="N176" t="s">
        <v>1096</v>
      </c>
      <c r="S176">
        <f t="shared" si="76"/>
        <v>6.4210053868233906E-3</v>
      </c>
      <c r="X176">
        <f t="shared" si="77"/>
        <v>0.99357899461317656</v>
      </c>
    </row>
    <row r="177" spans="2:25" x14ac:dyDescent="0.45">
      <c r="B177" s="15">
        <v>27</v>
      </c>
      <c r="C177" s="15">
        <v>0</v>
      </c>
      <c r="D177" s="15" t="s">
        <v>1062</v>
      </c>
      <c r="E177" s="15">
        <v>0</v>
      </c>
      <c r="F177" s="15"/>
      <c r="G177" s="15" t="s">
        <v>519</v>
      </c>
      <c r="H177" s="15">
        <v>208131.578582193</v>
      </c>
      <c r="I177">
        <f t="shared" si="75"/>
        <v>208.13157858219301</v>
      </c>
      <c r="J177" s="2">
        <v>9715873.2831341829</v>
      </c>
      <c r="K177" s="2">
        <v>12838713.065741196</v>
      </c>
      <c r="L177" s="2">
        <v>21890270.426393438</v>
      </c>
      <c r="M177" s="138" t="s">
        <v>1062</v>
      </c>
      <c r="N177" t="s">
        <v>1094</v>
      </c>
      <c r="S177">
        <f t="shared" si="76"/>
        <v>4.5788947288082464E-3</v>
      </c>
      <c r="X177">
        <f t="shared" si="77"/>
        <v>0.99542110527119176</v>
      </c>
    </row>
    <row r="178" spans="2:25" x14ac:dyDescent="0.45">
      <c r="B178" s="15">
        <v>28</v>
      </c>
      <c r="C178" s="15">
        <v>5243</v>
      </c>
      <c r="D178" s="15" t="s">
        <v>1063</v>
      </c>
      <c r="E178" s="15">
        <v>0</v>
      </c>
      <c r="F178" s="15"/>
      <c r="G178" s="15" t="s">
        <v>504</v>
      </c>
      <c r="H178" s="15">
        <v>126051.906350117</v>
      </c>
      <c r="I178">
        <f t="shared" si="75"/>
        <v>126.05190635011701</v>
      </c>
      <c r="J178" s="2">
        <v>8894835.8655053563</v>
      </c>
      <c r="K178" s="2">
        <v>10775752.991419163</v>
      </c>
      <c r="L178" s="2">
        <v>16649664.199452639</v>
      </c>
      <c r="M178" s="15" t="s">
        <v>1063</v>
      </c>
      <c r="S178">
        <f t="shared" si="76"/>
        <v>2.7731419397025742E-3</v>
      </c>
      <c r="X178">
        <f t="shared" si="77"/>
        <v>0.99722685806029743</v>
      </c>
    </row>
    <row r="179" spans="2:25" x14ac:dyDescent="0.45">
      <c r="B179" s="15">
        <v>29</v>
      </c>
      <c r="C179" s="15">
        <v>0</v>
      </c>
      <c r="D179" s="15" t="s">
        <v>1064</v>
      </c>
      <c r="E179" s="15">
        <v>0</v>
      </c>
      <c r="F179" s="15"/>
      <c r="G179" s="15" t="s">
        <v>504</v>
      </c>
      <c r="H179" s="15">
        <v>80569.384385503901</v>
      </c>
      <c r="I179">
        <f t="shared" si="75"/>
        <v>80.569384385503895</v>
      </c>
      <c r="J179" s="2">
        <v>5685367.8031915184</v>
      </c>
      <c r="K179" s="2">
        <v>6887605.3520160709</v>
      </c>
      <c r="L179" s="2">
        <v>10642069.871194907</v>
      </c>
      <c r="M179" s="15" t="s">
        <v>1064</v>
      </c>
      <c r="S179">
        <f t="shared" si="76"/>
        <v>1.7725264564810862E-3</v>
      </c>
      <c r="X179">
        <f t="shared" si="77"/>
        <v>0.99822747354351893</v>
      </c>
    </row>
    <row r="180" spans="2:25" x14ac:dyDescent="0.45">
      <c r="B180" s="15">
        <v>30</v>
      </c>
      <c r="C180" s="15">
        <v>0</v>
      </c>
      <c r="D180" s="15" t="s">
        <v>1065</v>
      </c>
      <c r="E180" s="15">
        <v>0</v>
      </c>
      <c r="F180" s="15"/>
      <c r="G180" s="15" t="s">
        <v>504</v>
      </c>
      <c r="H180" s="15">
        <v>104447.190711866</v>
      </c>
      <c r="I180">
        <f t="shared" si="75"/>
        <v>104.447190711866</v>
      </c>
      <c r="J180">
        <v>7370302.0041181734</v>
      </c>
      <c r="K180">
        <v>8928838.6058405191</v>
      </c>
      <c r="L180">
        <v>13795988.512054285</v>
      </c>
      <c r="M180" s="138" t="s">
        <v>1065</v>
      </c>
      <c r="N180" t="s">
        <v>1086</v>
      </c>
      <c r="S180">
        <f t="shared" si="76"/>
        <v>2.297838195661052E-3</v>
      </c>
      <c r="T180">
        <f>AVERAGE(S180:S184,S186)</f>
        <v>2.4070093305382898E-3</v>
      </c>
      <c r="U180" t="s">
        <v>1086</v>
      </c>
      <c r="Y180">
        <f t="shared" si="77"/>
        <v>0.99759299066946172</v>
      </c>
    </row>
    <row r="181" spans="2:25" x14ac:dyDescent="0.45">
      <c r="B181" s="15">
        <v>31</v>
      </c>
      <c r="C181" s="15">
        <v>0</v>
      </c>
      <c r="D181" s="15" t="s">
        <v>1066</v>
      </c>
      <c r="E181" s="15">
        <v>0</v>
      </c>
      <c r="F181" s="15"/>
      <c r="G181" s="15" t="s">
        <v>504</v>
      </c>
      <c r="H181" s="15">
        <v>121206.655497734</v>
      </c>
      <c r="I181">
        <f t="shared" si="75"/>
        <v>121.206655497734</v>
      </c>
      <c r="J181">
        <v>8552931.3889523428</v>
      </c>
      <c r="K181">
        <v>10361548.812533349</v>
      </c>
      <c r="L181">
        <v>16009675.467904082</v>
      </c>
      <c r="M181" s="138" t="s">
        <v>1066</v>
      </c>
      <c r="N181" t="s">
        <v>1086</v>
      </c>
      <c r="S181">
        <f t="shared" si="76"/>
        <v>2.6665464209501481E-3</v>
      </c>
      <c r="X181">
        <f t="shared" si="77"/>
        <v>0.9973334535790499</v>
      </c>
    </row>
    <row r="182" spans="2:25" x14ac:dyDescent="0.45">
      <c r="B182" s="15">
        <v>32</v>
      </c>
      <c r="C182" s="15">
        <v>0</v>
      </c>
      <c r="D182" s="15" t="s">
        <v>1067</v>
      </c>
      <c r="E182" s="15">
        <v>0</v>
      </c>
      <c r="F182" s="15"/>
      <c r="G182" s="15" t="s">
        <v>504</v>
      </c>
      <c r="H182" s="15">
        <v>84914.554532031194</v>
      </c>
      <c r="I182">
        <f t="shared" si="75"/>
        <v>84.91455453203119</v>
      </c>
      <c r="J182">
        <v>5991984.151806687</v>
      </c>
      <c r="K182">
        <v>7259059.3153906045</v>
      </c>
      <c r="L182">
        <v>11216005.053327112</v>
      </c>
      <c r="M182" s="138" t="s">
        <v>1067</v>
      </c>
      <c r="N182" t="s">
        <v>1086</v>
      </c>
      <c r="S182">
        <f t="shared" si="76"/>
        <v>1.8681201997046864E-3</v>
      </c>
      <c r="X182">
        <f t="shared" si="77"/>
        <v>0.99813187980029527</v>
      </c>
    </row>
    <row r="183" spans="2:25" x14ac:dyDescent="0.45">
      <c r="B183" s="15">
        <v>33</v>
      </c>
      <c r="C183" s="15">
        <v>0</v>
      </c>
      <c r="D183" s="15" t="s">
        <v>1068</v>
      </c>
      <c r="E183" s="15">
        <v>0</v>
      </c>
      <c r="F183" s="15"/>
      <c r="G183" s="15" t="s">
        <v>504</v>
      </c>
      <c r="H183" s="15">
        <v>56422.218169959298</v>
      </c>
      <c r="I183">
        <f t="shared" si="75"/>
        <v>56.422218169959301</v>
      </c>
      <c r="J183">
        <v>3981426.2578112627</v>
      </c>
      <c r="K183">
        <v>4823345.428340517</v>
      </c>
      <c r="L183">
        <v>7452572.6196381794</v>
      </c>
      <c r="M183" s="138" t="s">
        <v>1068</v>
      </c>
      <c r="N183" t="s">
        <v>1086</v>
      </c>
      <c r="S183">
        <f t="shared" si="76"/>
        <v>1.2412887997391047E-3</v>
      </c>
      <c r="X183">
        <f t="shared" si="77"/>
        <v>0.99875871120026094</v>
      </c>
    </row>
    <row r="184" spans="2:25" x14ac:dyDescent="0.45">
      <c r="B184" s="15">
        <v>34</v>
      </c>
      <c r="C184" s="15">
        <v>0</v>
      </c>
      <c r="D184" s="15" t="s">
        <v>1069</v>
      </c>
      <c r="E184" s="15">
        <v>0</v>
      </c>
      <c r="F184" s="15"/>
      <c r="G184" s="15" t="s">
        <v>504</v>
      </c>
      <c r="H184" s="15">
        <v>59684.175469570902</v>
      </c>
      <c r="I184">
        <f t="shared" si="75"/>
        <v>59.684175469570903</v>
      </c>
      <c r="J184">
        <v>4211605.8371644095</v>
      </c>
      <c r="K184">
        <v>5102199.1731743272</v>
      </c>
      <c r="L184">
        <v>7883430.7894514548</v>
      </c>
      <c r="M184" s="138" t="s">
        <v>1069</v>
      </c>
      <c r="N184" t="s">
        <v>1086</v>
      </c>
      <c r="S184">
        <f t="shared" si="76"/>
        <v>1.31305186033056E-3</v>
      </c>
      <c r="X184">
        <f t="shared" si="77"/>
        <v>0.99868694813966941</v>
      </c>
    </row>
    <row r="185" spans="2:25" x14ac:dyDescent="0.45">
      <c r="B185" s="15">
        <v>35</v>
      </c>
      <c r="C185" s="15">
        <v>0</v>
      </c>
      <c r="D185" s="15" t="s">
        <v>348</v>
      </c>
      <c r="E185" s="15">
        <v>0</v>
      </c>
      <c r="F185" s="15"/>
      <c r="G185" s="15" t="s">
        <v>519</v>
      </c>
      <c r="H185" s="15">
        <v>137186.37326589</v>
      </c>
      <c r="I185">
        <f t="shared" si="75"/>
        <v>137.18637326588998</v>
      </c>
      <c r="J185">
        <v>6404051.8402053332</v>
      </c>
      <c r="K185">
        <v>8462418.3167614751</v>
      </c>
      <c r="L185">
        <v>14428597.669144928</v>
      </c>
      <c r="M185" s="138" t="s">
        <v>348</v>
      </c>
      <c r="N185" t="s">
        <v>1090</v>
      </c>
      <c r="S185">
        <f t="shared" si="76"/>
        <v>3.0181002118495805E-3</v>
      </c>
      <c r="X185">
        <f t="shared" si="77"/>
        <v>0.99698189978815044</v>
      </c>
    </row>
    <row r="186" spans="2:25" x14ac:dyDescent="0.45">
      <c r="B186" s="15">
        <v>36</v>
      </c>
      <c r="C186" s="15">
        <v>0</v>
      </c>
      <c r="D186" s="15" t="s">
        <v>1070</v>
      </c>
      <c r="E186" s="15">
        <v>0</v>
      </c>
      <c r="F186" s="15"/>
      <c r="G186" s="15" t="s">
        <v>519</v>
      </c>
      <c r="H186" s="15">
        <v>229782.29576564499</v>
      </c>
      <c r="I186">
        <f t="shared" si="75"/>
        <v>229.78229576564499</v>
      </c>
      <c r="J186">
        <v>10726559.052570773</v>
      </c>
      <c r="K186">
        <v>14174249.688676491</v>
      </c>
      <c r="L186">
        <v>24167387.898425512</v>
      </c>
      <c r="M186" s="138" t="s">
        <v>1070</v>
      </c>
      <c r="N186" t="s">
        <v>1086</v>
      </c>
      <c r="S186">
        <f t="shared" si="76"/>
        <v>5.05521050684419E-3</v>
      </c>
      <c r="X186">
        <f t="shared" si="77"/>
        <v>0.99494478949315579</v>
      </c>
    </row>
    <row r="187" spans="2:25" x14ac:dyDescent="0.45">
      <c r="B187" s="15">
        <v>37</v>
      </c>
      <c r="C187" s="15">
        <v>0</v>
      </c>
      <c r="D187" s="15" t="s">
        <v>1071</v>
      </c>
      <c r="E187" s="15">
        <v>0</v>
      </c>
      <c r="F187" s="15"/>
      <c r="G187" s="15" t="s">
        <v>519</v>
      </c>
      <c r="H187" s="15">
        <v>209433.64612417499</v>
      </c>
      <c r="I187">
        <f t="shared" si="75"/>
        <v>209.433646124175</v>
      </c>
      <c r="J187" s="47">
        <v>9776655.6177042536</v>
      </c>
      <c r="K187">
        <v>12919031.831771791</v>
      </c>
      <c r="L187">
        <v>22027215.578117061</v>
      </c>
      <c r="M187" s="138" t="s">
        <v>1071</v>
      </c>
      <c r="N187" t="s">
        <v>1088</v>
      </c>
      <c r="S187">
        <f t="shared" si="76"/>
        <v>4.6075402147318497E-3</v>
      </c>
      <c r="X187">
        <f t="shared" si="77"/>
        <v>0.99539245978526814</v>
      </c>
    </row>
    <row r="188" spans="2:25" x14ac:dyDescent="0.45">
      <c r="B188" s="15">
        <v>38</v>
      </c>
      <c r="C188" s="15">
        <v>0</v>
      </c>
      <c r="D188" s="15" t="s">
        <v>1072</v>
      </c>
      <c r="E188" s="15">
        <v>0</v>
      </c>
      <c r="F188" s="15"/>
      <c r="G188" s="15" t="s">
        <v>519</v>
      </c>
      <c r="H188" s="15">
        <v>338770.49450251699</v>
      </c>
      <c r="I188">
        <f t="shared" si="75"/>
        <v>338.77049450251701</v>
      </c>
      <c r="J188">
        <v>15814280.653963028</v>
      </c>
      <c r="K188">
        <v>20897247.806821711</v>
      </c>
      <c r="L188">
        <v>35630238.273595624</v>
      </c>
      <c r="M188" s="138" t="s">
        <v>1072</v>
      </c>
      <c r="N188" t="s">
        <v>1087</v>
      </c>
      <c r="S188">
        <f t="shared" si="76"/>
        <v>7.4529508790553744E-3</v>
      </c>
      <c r="X188">
        <f t="shared" si="77"/>
        <v>0.9925470491209446</v>
      </c>
      <c r="Y188">
        <f>AVERAGE(X188:X189)</f>
        <v>0.99386547285411386</v>
      </c>
    </row>
    <row r="189" spans="2:25" x14ac:dyDescent="0.45">
      <c r="B189" s="15">
        <v>39</v>
      </c>
      <c r="C189" s="15">
        <v>0</v>
      </c>
      <c r="D189" s="15" t="s">
        <v>1073</v>
      </c>
      <c r="E189" s="15">
        <v>0</v>
      </c>
      <c r="F189" s="15"/>
      <c r="G189" s="15" t="s">
        <v>504</v>
      </c>
      <c r="H189" s="15">
        <v>218913.79148712801</v>
      </c>
      <c r="I189">
        <f t="shared" si="75"/>
        <v>218.91379148712801</v>
      </c>
      <c r="J189">
        <v>15447622.335555894</v>
      </c>
      <c r="K189">
        <v>18714202.837426115</v>
      </c>
      <c r="L189">
        <v>28915398.603856903</v>
      </c>
      <c r="M189" s="138" t="s">
        <v>1073</v>
      </c>
      <c r="N189" t="s">
        <v>1087</v>
      </c>
      <c r="S189">
        <f t="shared" si="76"/>
        <v>4.8161034127168168E-3</v>
      </c>
      <c r="X189">
        <f t="shared" si="77"/>
        <v>0.99518389658728323</v>
      </c>
    </row>
    <row r="190" spans="2:25" x14ac:dyDescent="0.45">
      <c r="B190" s="15">
        <v>40</v>
      </c>
      <c r="C190" s="15">
        <v>0</v>
      </c>
      <c r="D190" s="15" t="s">
        <v>332</v>
      </c>
      <c r="E190" s="15">
        <v>0</v>
      </c>
      <c r="F190" s="15"/>
      <c r="G190" s="15" t="s">
        <v>504</v>
      </c>
      <c r="H190" s="15">
        <v>322073.74852076999</v>
      </c>
      <c r="I190">
        <f t="shared" si="75"/>
        <v>322.07374852076998</v>
      </c>
      <c r="J190">
        <v>27533000.170901816</v>
      </c>
      <c r="K190">
        <v>42541361.853229895</v>
      </c>
      <c r="L190">
        <v>42541361.853229895</v>
      </c>
      <c r="M190" s="138" t="s">
        <v>332</v>
      </c>
      <c r="N190" t="s">
        <v>1089</v>
      </c>
      <c r="S190">
        <f t="shared" si="76"/>
        <v>7.0856224674569401E-3</v>
      </c>
      <c r="X190">
        <f t="shared" si="77"/>
        <v>0.99291437753254308</v>
      </c>
    </row>
    <row r="191" spans="2:25" x14ac:dyDescent="0.45">
      <c r="B191" s="15">
        <v>41</v>
      </c>
      <c r="C191" s="15">
        <v>0</v>
      </c>
      <c r="D191" s="15" t="s">
        <v>358</v>
      </c>
      <c r="E191" s="15">
        <v>0</v>
      </c>
      <c r="F191" s="15"/>
      <c r="G191" s="15" t="s">
        <v>504</v>
      </c>
      <c r="H191" s="15">
        <v>484336.79022117902</v>
      </c>
      <c r="I191">
        <f t="shared" si="75"/>
        <v>484.336790221179</v>
      </c>
      <c r="J191">
        <v>34177160.642672732</v>
      </c>
      <c r="K191">
        <v>41404321.181655668</v>
      </c>
      <c r="L191">
        <v>63974002.060904823</v>
      </c>
      <c r="M191" s="138" t="s">
        <v>358</v>
      </c>
      <c r="N191" t="s">
        <v>1091</v>
      </c>
      <c r="S191">
        <f t="shared" si="76"/>
        <v>1.0655409384865939E-2</v>
      </c>
      <c r="X191">
        <f t="shared" si="77"/>
        <v>0.98934459061513402</v>
      </c>
      <c r="Y191">
        <f>AVERAGE(X191:X192)</f>
        <v>0.99272710940123732</v>
      </c>
    </row>
    <row r="192" spans="2:25" x14ac:dyDescent="0.45">
      <c r="B192" s="15">
        <v>42</v>
      </c>
      <c r="C192" s="15">
        <v>0</v>
      </c>
      <c r="D192" s="15" t="s">
        <v>1074</v>
      </c>
      <c r="E192" s="15">
        <v>0</v>
      </c>
      <c r="F192" s="15"/>
      <c r="G192" s="15" t="s">
        <v>504</v>
      </c>
      <c r="H192" s="15">
        <v>176835.082393608</v>
      </c>
      <c r="I192">
        <f t="shared" si="75"/>
        <v>176.83508239360799</v>
      </c>
      <c r="J192">
        <v>12478343.871971119</v>
      </c>
      <c r="K192">
        <v>15117035.697961155</v>
      </c>
      <c r="L192">
        <v>23357399.549026169</v>
      </c>
      <c r="M192" s="138" t="s">
        <v>1074</v>
      </c>
      <c r="N192" t="s">
        <v>1091</v>
      </c>
      <c r="S192">
        <f t="shared" si="76"/>
        <v>3.8903718126593761E-3</v>
      </c>
      <c r="X192">
        <f t="shared" si="77"/>
        <v>0.99610962818734061</v>
      </c>
    </row>
    <row r="193" spans="2:25" x14ac:dyDescent="0.45">
      <c r="B193" s="15">
        <v>43</v>
      </c>
      <c r="C193" s="15">
        <v>0</v>
      </c>
      <c r="D193" s="15" t="s">
        <v>368</v>
      </c>
      <c r="E193" s="15">
        <v>0</v>
      </c>
      <c r="F193" s="15"/>
      <c r="G193" s="15" t="s">
        <v>504</v>
      </c>
      <c r="H193" s="15">
        <v>464744.12800327898</v>
      </c>
      <c r="I193">
        <f t="shared" si="75"/>
        <v>464.744128003279</v>
      </c>
      <c r="J193">
        <v>32794607.061035883</v>
      </c>
      <c r="K193">
        <v>39729410.467350505</v>
      </c>
      <c r="L193">
        <v>61386090.016201049</v>
      </c>
      <c r="M193" s="138" t="s">
        <v>368</v>
      </c>
      <c r="N193" t="s">
        <v>1092</v>
      </c>
      <c r="S193">
        <f t="shared" si="76"/>
        <v>1.0224370816072139E-2</v>
      </c>
      <c r="X193">
        <f t="shared" si="77"/>
        <v>0.98977562918392781</v>
      </c>
    </row>
    <row r="194" spans="2:25" x14ac:dyDescent="0.45">
      <c r="B194" s="15">
        <v>44</v>
      </c>
      <c r="C194" s="15">
        <v>0</v>
      </c>
      <c r="D194" s="15" t="s">
        <v>370</v>
      </c>
      <c r="E194" s="15">
        <v>0</v>
      </c>
      <c r="F194" s="15"/>
      <c r="G194" s="15" t="s">
        <v>504</v>
      </c>
      <c r="H194" s="15">
        <v>289302.20221710397</v>
      </c>
      <c r="I194">
        <f t="shared" si="75"/>
        <v>289.30220221710397</v>
      </c>
      <c r="J194">
        <v>20414571.098217998</v>
      </c>
      <c r="K194">
        <v>24731471.036274552</v>
      </c>
      <c r="L194">
        <v>38212706.642436676</v>
      </c>
      <c r="M194" s="138" t="s">
        <v>370</v>
      </c>
      <c r="N194" t="s">
        <v>1093</v>
      </c>
      <c r="S194">
        <f t="shared" si="76"/>
        <v>6.3646484487762875E-3</v>
      </c>
      <c r="X194">
        <f t="shared" si="77"/>
        <v>0.99363535155122373</v>
      </c>
      <c r="Y194">
        <f>AVERAGE(X194:X195)</f>
        <v>0.99379284217646013</v>
      </c>
    </row>
    <row r="195" spans="2:25" x14ac:dyDescent="0.45">
      <c r="B195" s="15">
        <v>45</v>
      </c>
      <c r="C195" s="15">
        <v>0</v>
      </c>
      <c r="D195" s="15" t="s">
        <v>1075</v>
      </c>
      <c r="E195" s="15">
        <v>0</v>
      </c>
      <c r="F195" s="15"/>
      <c r="G195" s="15" t="s">
        <v>504</v>
      </c>
      <c r="H195" s="15">
        <v>274984.872650159</v>
      </c>
      <c r="I195">
        <f t="shared" si="75"/>
        <v>274.98487265015899</v>
      </c>
      <c r="J195">
        <v>19404270.657567777</v>
      </c>
      <c r="K195">
        <v>23507530.745505605</v>
      </c>
      <c r="L195">
        <v>36321591.018525235</v>
      </c>
      <c r="M195" s="138" t="s">
        <v>1075</v>
      </c>
      <c r="N195" t="s">
        <v>1093</v>
      </c>
      <c r="S195">
        <f t="shared" si="76"/>
        <v>6.0496671983034976E-3</v>
      </c>
      <c r="X195">
        <f t="shared" si="77"/>
        <v>0.99395033280169653</v>
      </c>
    </row>
    <row r="196" spans="2:25" x14ac:dyDescent="0.45">
      <c r="B196" s="15">
        <v>46</v>
      </c>
      <c r="C196" s="15">
        <v>0</v>
      </c>
      <c r="D196" s="15" t="s">
        <v>1076</v>
      </c>
      <c r="E196" s="15">
        <v>0</v>
      </c>
      <c r="F196" s="15"/>
      <c r="G196" s="15" t="s">
        <v>504</v>
      </c>
      <c r="H196" s="15">
        <v>112245.229125</v>
      </c>
      <c r="I196">
        <f t="shared" si="75"/>
        <v>112.24522912499999</v>
      </c>
      <c r="J196">
        <v>7920569.538867509</v>
      </c>
      <c r="K196">
        <v>9595466.6497205701</v>
      </c>
      <c r="L196">
        <v>14825998.487726446</v>
      </c>
      <c r="M196" s="15" t="s">
        <v>1076</v>
      </c>
      <c r="S196">
        <f t="shared" si="76"/>
        <v>2.4693950407500003E-3</v>
      </c>
      <c r="X196">
        <f t="shared" si="77"/>
        <v>0.99753060495924994</v>
      </c>
    </row>
    <row r="197" spans="2:25" x14ac:dyDescent="0.45">
      <c r="B197" s="15">
        <v>47</v>
      </c>
      <c r="C197" s="15">
        <v>0</v>
      </c>
      <c r="D197" s="15" t="s">
        <v>1077</v>
      </c>
      <c r="E197" s="15">
        <v>0</v>
      </c>
      <c r="F197" s="15"/>
      <c r="G197" s="15" t="s">
        <v>504</v>
      </c>
      <c r="H197" s="15">
        <v>306017.27450092399</v>
      </c>
      <c r="I197">
        <f t="shared" si="75"/>
        <v>306.01727450092397</v>
      </c>
      <c r="J197">
        <v>21594067.932099074</v>
      </c>
      <c r="K197">
        <v>26160386.277459979</v>
      </c>
      <c r="L197">
        <v>40420529.980087645</v>
      </c>
      <c r="M197" s="15" t="s">
        <v>1077</v>
      </c>
      <c r="S197">
        <f t="shared" si="76"/>
        <v>6.7323800390203282E-3</v>
      </c>
      <c r="X197">
        <f t="shared" si="77"/>
        <v>0.99326761996097968</v>
      </c>
    </row>
    <row r="198" spans="2:25" x14ac:dyDescent="0.45">
      <c r="B198" s="15">
        <v>48</v>
      </c>
      <c r="C198" s="15">
        <v>0</v>
      </c>
      <c r="D198" s="15" t="s">
        <v>1078</v>
      </c>
      <c r="E198" s="15">
        <v>0</v>
      </c>
      <c r="F198" s="15"/>
      <c r="G198" s="15" t="s">
        <v>519</v>
      </c>
      <c r="H198" s="15">
        <v>553477.442371001</v>
      </c>
      <c r="I198">
        <f t="shared" si="75"/>
        <v>553.47744237100096</v>
      </c>
      <c r="J198">
        <v>25837101.374918081</v>
      </c>
      <c r="K198">
        <v>34141566.211949855</v>
      </c>
      <c r="L198">
        <v>58212074.164541923</v>
      </c>
      <c r="M198" s="138" t="s">
        <v>1078</v>
      </c>
      <c r="N198" t="s">
        <v>1097</v>
      </c>
      <c r="S198">
        <f t="shared" si="76"/>
        <v>1.2176503732162024E-2</v>
      </c>
      <c r="X198">
        <f t="shared" si="77"/>
        <v>0.98782349626783794</v>
      </c>
    </row>
    <row r="202" spans="2:25" x14ac:dyDescent="0.45">
      <c r="B202" t="s">
        <v>1085</v>
      </c>
    </row>
    <row r="203" spans="2:25" x14ac:dyDescent="0.45">
      <c r="D203" t="s">
        <v>1100</v>
      </c>
      <c r="M203" t="s">
        <v>1166</v>
      </c>
      <c r="P203" t="s">
        <v>1167</v>
      </c>
    </row>
    <row r="204" spans="2:25" x14ac:dyDescent="0.45">
      <c r="C204" t="s">
        <v>522</v>
      </c>
      <c r="D204" t="s">
        <v>33</v>
      </c>
      <c r="E204" t="s">
        <v>523</v>
      </c>
      <c r="F204" t="s">
        <v>1101</v>
      </c>
      <c r="L204" t="s">
        <v>522</v>
      </c>
      <c r="M204" t="s">
        <v>33</v>
      </c>
      <c r="N204" t="s">
        <v>523</v>
      </c>
      <c r="O204" t="s">
        <v>522</v>
      </c>
      <c r="P204" t="s">
        <v>33</v>
      </c>
      <c r="Q204" t="s">
        <v>523</v>
      </c>
    </row>
    <row r="205" spans="2:25" x14ac:dyDescent="0.45">
      <c r="B205" t="s">
        <v>1086</v>
      </c>
      <c r="C205" s="2">
        <f>(J180+J181+J182+J183+J184+J186)/1000</f>
        <v>40834.808692423649</v>
      </c>
      <c r="D205" s="2">
        <f>(K180+K181+K182+K183+K184+K186)/1000</f>
        <v>50649.241023955808</v>
      </c>
      <c r="E205" s="2">
        <f>(L180+L181+L182+L183+L184+L186)/1000</f>
        <v>80525.060340800628</v>
      </c>
      <c r="F205">
        <v>3600</v>
      </c>
      <c r="I205" t="s">
        <v>1152</v>
      </c>
      <c r="J205" t="s">
        <v>1153</v>
      </c>
      <c r="L205">
        <f>F205*C205</f>
        <v>147005311.29272515</v>
      </c>
      <c r="M205">
        <f>F205*D205</f>
        <v>182337267.68624091</v>
      </c>
      <c r="N205">
        <f>F205*E205</f>
        <v>289890217.22688228</v>
      </c>
      <c r="O205">
        <f>F205*C205</f>
        <v>147005311.29272515</v>
      </c>
      <c r="P205">
        <f>F205*D205</f>
        <v>182337267.68624091</v>
      </c>
      <c r="Q205">
        <f>F205*E205</f>
        <v>289890217.22688228</v>
      </c>
    </row>
    <row r="206" spans="2:25" x14ac:dyDescent="0.45">
      <c r="B206" t="s">
        <v>1087</v>
      </c>
      <c r="C206" s="2">
        <f>(J189+J188)/1000</f>
        <v>31261.902989518923</v>
      </c>
      <c r="D206" s="2">
        <f>(K189+K188)/1000</f>
        <v>39611.45064424783</v>
      </c>
      <c r="E206" s="2">
        <f>(L189+L188)/1000</f>
        <v>64545.636877452525</v>
      </c>
      <c r="F206">
        <f>4700+3600</f>
        <v>8300</v>
      </c>
      <c r="H206">
        <v>2030</v>
      </c>
      <c r="I206">
        <f>F205</f>
        <v>3600</v>
      </c>
      <c r="J206">
        <f>0</f>
        <v>0</v>
      </c>
      <c r="L206">
        <f t="shared" ref="L206:L218" si="78">F206*C206</f>
        <v>259473794.81300706</v>
      </c>
      <c r="M206">
        <f t="shared" ref="M206:M218" si="79">F206*D206</f>
        <v>328775040.34725702</v>
      </c>
      <c r="N206">
        <f t="shared" ref="N206:N218" si="80">F206*E206</f>
        <v>535728786.08285594</v>
      </c>
    </row>
    <row r="207" spans="2:25" x14ac:dyDescent="0.45">
      <c r="B207" t="s">
        <v>1088</v>
      </c>
      <c r="C207" s="2">
        <f>J187/1000</f>
        <v>9776.655617704253</v>
      </c>
      <c r="D207" s="2">
        <f>K187/1000</f>
        <v>12919.03183177179</v>
      </c>
      <c r="E207" s="2">
        <f>L187/1000</f>
        <v>22027.215578117062</v>
      </c>
      <c r="F207">
        <v>3600</v>
      </c>
      <c r="H207" t="s">
        <v>1154</v>
      </c>
      <c r="I207">
        <f>F205+F206+F216</f>
        <v>19100</v>
      </c>
      <c r="J207">
        <f>F217+F218</f>
        <v>9400</v>
      </c>
      <c r="L207">
        <f t="shared" si="78"/>
        <v>35195960.22373531</v>
      </c>
      <c r="M207">
        <f t="shared" si="79"/>
        <v>46508514.594378442</v>
      </c>
      <c r="N207">
        <f t="shared" si="80"/>
        <v>79297976.081221431</v>
      </c>
    </row>
    <row r="208" spans="2:25" x14ac:dyDescent="0.45">
      <c r="B208" t="s">
        <v>1089</v>
      </c>
      <c r="C208" s="2">
        <f>J190/1000</f>
        <v>27533.000170901818</v>
      </c>
      <c r="D208" s="2">
        <f>K190/1000</f>
        <v>42541.361853229893</v>
      </c>
      <c r="E208" s="2">
        <f>L190/1000</f>
        <v>42541.361853229893</v>
      </c>
      <c r="F208">
        <v>4700</v>
      </c>
      <c r="L208">
        <f t="shared" si="78"/>
        <v>129405100.80323854</v>
      </c>
      <c r="M208">
        <f t="shared" si="79"/>
        <v>199944400.71018049</v>
      </c>
      <c r="N208">
        <f t="shared" si="80"/>
        <v>199944400.71018049</v>
      </c>
    </row>
    <row r="209" spans="2:17" x14ac:dyDescent="0.45">
      <c r="B209" t="s">
        <v>1090</v>
      </c>
      <c r="C209" s="2">
        <f>J185/1000</f>
        <v>6404.0518402053331</v>
      </c>
      <c r="D209" s="2">
        <f>K185/1000</f>
        <v>8462.4183167614756</v>
      </c>
      <c r="E209" s="2">
        <f>L185/1000</f>
        <v>14428.597669144929</v>
      </c>
      <c r="F209">
        <v>3600</v>
      </c>
      <c r="L209">
        <f t="shared" si="78"/>
        <v>23054586.6247392</v>
      </c>
      <c r="M209">
        <f t="shared" si="79"/>
        <v>30464705.940341312</v>
      </c>
      <c r="N209">
        <f t="shared" si="80"/>
        <v>51942951.608921744</v>
      </c>
    </row>
    <row r="210" spans="2:17" x14ac:dyDescent="0.45">
      <c r="B210" t="s">
        <v>1091</v>
      </c>
      <c r="C210" s="2">
        <f>(J191+J192)/1000</f>
        <v>46655.50451464385</v>
      </c>
      <c r="D210" s="2">
        <f>(K191+K192)/1000</f>
        <v>56521.356879616826</v>
      </c>
      <c r="E210" s="2">
        <f>(L191+L192)/1000</f>
        <v>87331.401609930996</v>
      </c>
      <c r="F210">
        <v>4700</v>
      </c>
      <c r="L210">
        <f t="shared" si="78"/>
        <v>219280871.21882609</v>
      </c>
      <c r="M210">
        <f t="shared" si="79"/>
        <v>265650377.33419907</v>
      </c>
      <c r="N210">
        <f t="shared" si="80"/>
        <v>410457587.56667566</v>
      </c>
    </row>
    <row r="211" spans="2:17" x14ac:dyDescent="0.45">
      <c r="B211" t="s">
        <v>1092</v>
      </c>
      <c r="C211" s="2">
        <f>(J193)/1000</f>
        <v>32794.60706103588</v>
      </c>
      <c r="D211" s="2">
        <f>(K193)/1000</f>
        <v>39729.410467350506</v>
      </c>
      <c r="E211" s="2">
        <f>(L193)/1000</f>
        <v>61386.090016201051</v>
      </c>
      <c r="F211">
        <v>4700</v>
      </c>
      <c r="L211">
        <f t="shared" si="78"/>
        <v>154134653.18686864</v>
      </c>
      <c r="M211">
        <f t="shared" si="79"/>
        <v>186728229.19654739</v>
      </c>
      <c r="N211">
        <f t="shared" si="80"/>
        <v>288514623.07614493</v>
      </c>
    </row>
    <row r="212" spans="2:17" x14ac:dyDescent="0.45">
      <c r="B212" t="s">
        <v>1093</v>
      </c>
      <c r="C212" s="2">
        <f>(J194+J195)/1000</f>
        <v>39818.841755785776</v>
      </c>
      <c r="D212" s="2">
        <f>(K194+K195)/1000</f>
        <v>48239.001781780156</v>
      </c>
      <c r="E212" s="2">
        <f>(L194+L195)/1000</f>
        <v>74534.297660961907</v>
      </c>
      <c r="F212">
        <v>4700</v>
      </c>
      <c r="L212">
        <f t="shared" si="78"/>
        <v>187148556.25219315</v>
      </c>
      <c r="M212">
        <f t="shared" si="79"/>
        <v>226723308.37436673</v>
      </c>
      <c r="N212">
        <f t="shared" si="80"/>
        <v>350311199.00652099</v>
      </c>
    </row>
    <row r="213" spans="2:17" x14ac:dyDescent="0.45">
      <c r="B213" t="s">
        <v>1094</v>
      </c>
      <c r="C213" s="2">
        <f>J177/1000</f>
        <v>9715.8732831341822</v>
      </c>
      <c r="D213" s="2">
        <f>K177/1000</f>
        <v>12838.713065741196</v>
      </c>
      <c r="E213" s="2">
        <f>L177/1000</f>
        <v>21890.270426393439</v>
      </c>
      <c r="F213">
        <v>3600</v>
      </c>
      <c r="L213">
        <f t="shared" si="78"/>
        <v>34977143.819283053</v>
      </c>
      <c r="M213">
        <f t="shared" si="79"/>
        <v>46219367.036668308</v>
      </c>
      <c r="N213">
        <f t="shared" si="80"/>
        <v>78804973.535016388</v>
      </c>
    </row>
    <row r="214" spans="2:17" x14ac:dyDescent="0.45">
      <c r="B214" t="s">
        <v>1095</v>
      </c>
      <c r="C214" s="2">
        <f>J174/1000</f>
        <v>29782.760562117386</v>
      </c>
      <c r="D214" s="2">
        <f>K174/1000</f>
        <v>39355.42447084601</v>
      </c>
      <c r="E214" s="2">
        <f>L174/1000</f>
        <v>67101.809971215</v>
      </c>
      <c r="F214">
        <v>3600</v>
      </c>
      <c r="L214">
        <f t="shared" si="78"/>
        <v>107217938.02362259</v>
      </c>
      <c r="M214">
        <f t="shared" si="79"/>
        <v>141679528.09504563</v>
      </c>
      <c r="N214">
        <f t="shared" si="80"/>
        <v>241566515.89637399</v>
      </c>
    </row>
    <row r="215" spans="2:17" x14ac:dyDescent="0.45">
      <c r="B215" t="s">
        <v>1096</v>
      </c>
      <c r="C215" s="2">
        <f>J176/1000</f>
        <v>13624.614319302171</v>
      </c>
      <c r="D215" s="2">
        <f>K176/1000</f>
        <v>18003.787079084072</v>
      </c>
      <c r="E215" s="2">
        <f>L176/1000</f>
        <v>30696.828088789916</v>
      </c>
      <c r="F215">
        <v>3600</v>
      </c>
      <c r="L215">
        <f t="shared" si="78"/>
        <v>49048611.549487814</v>
      </c>
      <c r="M215">
        <f t="shared" si="79"/>
        <v>64813633.484702654</v>
      </c>
      <c r="N215">
        <f t="shared" si="80"/>
        <v>110508581.1196437</v>
      </c>
    </row>
    <row r="216" spans="2:17" x14ac:dyDescent="0.45">
      <c r="B216" t="s">
        <v>1097</v>
      </c>
      <c r="C216" s="2">
        <f>(J175+J198)/1000</f>
        <v>55899.396097300814</v>
      </c>
      <c r="D216" s="2">
        <f>(K175+K198)/1000</f>
        <v>73866.371671116227</v>
      </c>
      <c r="E216" s="2">
        <f>(L175+L198)/1000</f>
        <v>125943.68633503481</v>
      </c>
      <c r="F216">
        <f>3600*2</f>
        <v>7200</v>
      </c>
      <c r="L216">
        <f t="shared" si="78"/>
        <v>402475651.90056586</v>
      </c>
      <c r="M216">
        <f t="shared" si="79"/>
        <v>531837876.03203684</v>
      </c>
      <c r="N216">
        <f t="shared" si="80"/>
        <v>906794541.61225069</v>
      </c>
    </row>
    <row r="217" spans="2:17" x14ac:dyDescent="0.45">
      <c r="B217" t="s">
        <v>1098</v>
      </c>
      <c r="C217" s="2">
        <f>J197/1000</f>
        <v>21594.067932099075</v>
      </c>
      <c r="D217" s="2">
        <f>K197/1000</f>
        <v>26160.38627745998</v>
      </c>
      <c r="E217" s="2">
        <f>L197/1000</f>
        <v>40420.529980087646</v>
      </c>
      <c r="F217">
        <v>4700</v>
      </c>
      <c r="L217">
        <f t="shared" si="78"/>
        <v>101492119.28086565</v>
      </c>
      <c r="M217">
        <f t="shared" si="79"/>
        <v>122953815.50406191</v>
      </c>
      <c r="N217">
        <f t="shared" si="80"/>
        <v>189976490.90641195</v>
      </c>
    </row>
    <row r="218" spans="2:17" x14ac:dyDescent="0.45">
      <c r="B218" t="s">
        <v>1099</v>
      </c>
      <c r="C218" s="2">
        <f>J196/1000</f>
        <v>7920.5695388675094</v>
      </c>
      <c r="D218" s="2">
        <f>K196/1000</f>
        <v>9595.4666497205708</v>
      </c>
      <c r="E218" s="2">
        <f>L196/1000</f>
        <v>14825.998487726447</v>
      </c>
      <c r="F218">
        <v>4700</v>
      </c>
      <c r="L218" s="120">
        <f t="shared" si="78"/>
        <v>37226676.832677297</v>
      </c>
      <c r="M218" s="120">
        <f t="shared" si="79"/>
        <v>45098693.253686681</v>
      </c>
      <c r="N218" s="120">
        <f t="shared" si="80"/>
        <v>69682192.8923143</v>
      </c>
      <c r="O218" s="120"/>
      <c r="P218" s="120"/>
      <c r="Q218" s="120"/>
    </row>
    <row r="219" spans="2:17" x14ac:dyDescent="0.45">
      <c r="J219" t="s">
        <v>477</v>
      </c>
      <c r="K219" t="s">
        <v>1164</v>
      </c>
      <c r="L219" s="143">
        <f t="shared" ref="L219:Q219" si="81">SUM(L205:L218)</f>
        <v>1887136975.8218353</v>
      </c>
      <c r="M219" s="143">
        <f t="shared" si="81"/>
        <v>2419734757.5897136</v>
      </c>
      <c r="N219" s="143">
        <f t="shared" si="81"/>
        <v>3803421037.3214154</v>
      </c>
      <c r="O219" s="143">
        <f t="shared" si="81"/>
        <v>147005311.29272515</v>
      </c>
      <c r="P219" s="143">
        <f t="shared" si="81"/>
        <v>182337267.68624091</v>
      </c>
      <c r="Q219" s="143">
        <f t="shared" si="81"/>
        <v>289890217.22688228</v>
      </c>
    </row>
    <row r="220" spans="2:17" x14ac:dyDescent="0.45">
      <c r="K220" t="s">
        <v>1165</v>
      </c>
      <c r="L220" s="142">
        <f t="shared" ref="L220:Q220" si="82">L219/1000000000</f>
        <v>1.8871369758218353</v>
      </c>
      <c r="M220" s="142">
        <f t="shared" si="82"/>
        <v>2.4197347575897137</v>
      </c>
      <c r="N220" s="142">
        <f t="shared" si="82"/>
        <v>3.8034210373214155</v>
      </c>
      <c r="O220" s="142">
        <f t="shared" si="82"/>
        <v>0.14700531129272515</v>
      </c>
      <c r="P220" s="142">
        <f t="shared" si="82"/>
        <v>0.18233726768624092</v>
      </c>
      <c r="Q220" s="142">
        <f t="shared" si="82"/>
        <v>0.2898902172268823</v>
      </c>
    </row>
    <row r="222" spans="2:17" x14ac:dyDescent="0.45">
      <c r="B222" t="s">
        <v>1102</v>
      </c>
    </row>
    <row r="223" spans="2:17" x14ac:dyDescent="0.45">
      <c r="B223" t="s">
        <v>1103</v>
      </c>
    </row>
    <row r="224" spans="2:17" x14ac:dyDescent="0.45">
      <c r="B224" t="s">
        <v>1104</v>
      </c>
    </row>
    <row r="225" spans="2:2" x14ac:dyDescent="0.45">
      <c r="B225" t="s">
        <v>1105</v>
      </c>
    </row>
    <row r="226" spans="2:2" x14ac:dyDescent="0.45">
      <c r="B226" t="s">
        <v>1106</v>
      </c>
    </row>
    <row r="227" spans="2:2" x14ac:dyDescent="0.45">
      <c r="B227" t="s">
        <v>1107</v>
      </c>
    </row>
    <row r="228" spans="2:2" x14ac:dyDescent="0.45">
      <c r="B228" t="s">
        <v>1108</v>
      </c>
    </row>
    <row r="229" spans="2:2" x14ac:dyDescent="0.45">
      <c r="B229" t="s">
        <v>1109</v>
      </c>
    </row>
    <row r="230" spans="2:2" x14ac:dyDescent="0.45">
      <c r="B230" t="s">
        <v>1110</v>
      </c>
    </row>
    <row r="231" spans="2:2" x14ac:dyDescent="0.45">
      <c r="B231" t="s">
        <v>1111</v>
      </c>
    </row>
    <row r="232" spans="2:2" x14ac:dyDescent="0.45">
      <c r="B232" t="s">
        <v>1112</v>
      </c>
    </row>
    <row r="233" spans="2:2" x14ac:dyDescent="0.45">
      <c r="B233" t="s">
        <v>1113</v>
      </c>
    </row>
    <row r="234" spans="2:2" x14ac:dyDescent="0.45">
      <c r="B234" t="s">
        <v>1114</v>
      </c>
    </row>
    <row r="235" spans="2:2" x14ac:dyDescent="0.45">
      <c r="B235" t="s">
        <v>1115</v>
      </c>
    </row>
  </sheetData>
  <mergeCells count="21">
    <mergeCell ref="H78:K78"/>
    <mergeCell ref="M78:P78"/>
    <mergeCell ref="R78:U78"/>
    <mergeCell ref="A40:A45"/>
    <mergeCell ref="A46:A51"/>
    <mergeCell ref="A52:A57"/>
    <mergeCell ref="A58:A63"/>
    <mergeCell ref="C78:F78"/>
    <mergeCell ref="AP6:AP8"/>
    <mergeCell ref="AP9:AP11"/>
    <mergeCell ref="AS4:AU4"/>
    <mergeCell ref="AV4:AX4"/>
    <mergeCell ref="AR4:AR5"/>
    <mergeCell ref="AQ4:AQ5"/>
    <mergeCell ref="V52:V54"/>
    <mergeCell ref="W52:W54"/>
    <mergeCell ref="AV12:AX12"/>
    <mergeCell ref="W46:W48"/>
    <mergeCell ref="V46:V48"/>
    <mergeCell ref="V49:V51"/>
    <mergeCell ref="W49:W51"/>
  </mergeCells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G51"/>
  <sheetViews>
    <sheetView workbookViewId="0">
      <selection activeCell="D6" sqref="D6:D7"/>
    </sheetView>
  </sheetViews>
  <sheetFormatPr defaultRowHeight="14.25" x14ac:dyDescent="0.45"/>
  <cols>
    <col min="2" max="2" width="14.73046875" bestFit="1" customWidth="1"/>
    <col min="3" max="3" width="13.3984375" bestFit="1" customWidth="1"/>
    <col min="4" max="4" width="13.3984375" customWidth="1"/>
    <col min="5" max="6" width="20.3984375" bestFit="1" customWidth="1"/>
  </cols>
  <sheetData>
    <row r="1" spans="1:7" x14ac:dyDescent="0.45">
      <c r="A1" t="s">
        <v>1</v>
      </c>
    </row>
    <row r="2" spans="1:7" x14ac:dyDescent="0.45">
      <c r="A2" t="s">
        <v>25</v>
      </c>
      <c r="B2" t="s">
        <v>26</v>
      </c>
    </row>
    <row r="5" spans="1:7" x14ac:dyDescent="0.45">
      <c r="A5" s="153" t="s">
        <v>18</v>
      </c>
      <c r="B5" s="153"/>
      <c r="C5" s="153"/>
      <c r="D5" s="153"/>
      <c r="E5" s="153"/>
      <c r="F5" s="153"/>
      <c r="G5" s="153"/>
    </row>
    <row r="6" spans="1:7" x14ac:dyDescent="0.45">
      <c r="A6" t="s">
        <v>5</v>
      </c>
      <c r="B6" t="s">
        <v>19</v>
      </c>
      <c r="C6" t="s">
        <v>20</v>
      </c>
      <c r="D6" t="s">
        <v>23</v>
      </c>
      <c r="E6" t="s">
        <v>21</v>
      </c>
      <c r="F6" t="s">
        <v>22</v>
      </c>
      <c r="G6" t="s">
        <v>24</v>
      </c>
    </row>
    <row r="7" spans="1:7" x14ac:dyDescent="0.45">
      <c r="A7">
        <v>0</v>
      </c>
      <c r="B7" s="2" t="e">
        <f>'Technology Data'!#REF!</f>
        <v>#REF!</v>
      </c>
      <c r="C7" s="2" t="e">
        <f>B7/(1+Economic!$B$5)^A7</f>
        <v>#REF!</v>
      </c>
      <c r="D7" s="3">
        <f>Economic!$B$5*(1+Economic!$B$5)^MAX($A$7:$A$27) /( (1+Economic!$B$5)^MAX($A$7:$A$27)-1)</f>
        <v>7.3581750328628834E-2</v>
      </c>
      <c r="G7" s="2" t="e">
        <f>SUM(F8:F27)</f>
        <v>#REF!</v>
      </c>
    </row>
    <row r="8" spans="1:7" x14ac:dyDescent="0.45">
      <c r="A8">
        <v>1</v>
      </c>
      <c r="B8" s="2" t="e">
        <f>'Technology Data'!#REF!</f>
        <v>#REF!</v>
      </c>
      <c r="C8" s="2" t="e">
        <f>B8/(1+Economic!$B$5)^A8</f>
        <v>#REF!</v>
      </c>
      <c r="D8" s="2"/>
      <c r="E8" s="2" t="e">
        <f>SUM($C$7:$C$27)*$D$7</f>
        <v>#REF!</v>
      </c>
      <c r="F8" s="2" t="e">
        <f>E8/(1+Economic!$B$5)^A8</f>
        <v>#REF!</v>
      </c>
    </row>
    <row r="9" spans="1:7" x14ac:dyDescent="0.45">
      <c r="A9">
        <v>2</v>
      </c>
      <c r="B9" s="2" t="e">
        <f>'Technology Data'!#REF!</f>
        <v>#REF!</v>
      </c>
      <c r="C9" s="2" t="e">
        <f>B9/(1+Economic!$B$5)^A9</f>
        <v>#REF!</v>
      </c>
      <c r="D9" s="2"/>
      <c r="E9" s="2" t="e">
        <f t="shared" ref="E9:E27" si="0">SUM($C$7:$C$27)*$D$7</f>
        <v>#REF!</v>
      </c>
      <c r="F9" s="2" t="e">
        <f>E9/(1+Economic!$B$5)^A9</f>
        <v>#REF!</v>
      </c>
    </row>
    <row r="10" spans="1:7" x14ac:dyDescent="0.45">
      <c r="A10">
        <v>3</v>
      </c>
      <c r="B10" s="2" t="e">
        <f>'Technology Data'!#REF!</f>
        <v>#REF!</v>
      </c>
      <c r="C10" s="2" t="e">
        <f>B10/(1+Economic!$B$5)^A10</f>
        <v>#REF!</v>
      </c>
      <c r="D10" s="2"/>
      <c r="E10" s="2" t="e">
        <f t="shared" si="0"/>
        <v>#REF!</v>
      </c>
      <c r="F10" s="2" t="e">
        <f>E10/(1+Economic!$B$5)^A10</f>
        <v>#REF!</v>
      </c>
    </row>
    <row r="11" spans="1:7" x14ac:dyDescent="0.45">
      <c r="A11">
        <v>4</v>
      </c>
      <c r="B11" s="2" t="e">
        <f>'Technology Data'!#REF!</f>
        <v>#REF!</v>
      </c>
      <c r="C11" s="2" t="e">
        <f>B11/(1+Economic!$B$5)^A11</f>
        <v>#REF!</v>
      </c>
      <c r="D11" s="2"/>
      <c r="E11" s="2" t="e">
        <f t="shared" si="0"/>
        <v>#REF!</v>
      </c>
      <c r="F11" s="2" t="e">
        <f>E11/(1+Economic!$B$5)^A11</f>
        <v>#REF!</v>
      </c>
    </row>
    <row r="12" spans="1:7" x14ac:dyDescent="0.45">
      <c r="A12">
        <v>5</v>
      </c>
      <c r="B12" s="2" t="e">
        <f>'Technology Data'!#REF!</f>
        <v>#REF!</v>
      </c>
      <c r="C12" s="2" t="e">
        <f>B12/(1+Economic!$B$5)^A12</f>
        <v>#REF!</v>
      </c>
      <c r="D12" s="2"/>
      <c r="E12" s="2" t="e">
        <f t="shared" si="0"/>
        <v>#REF!</v>
      </c>
      <c r="F12" s="2" t="e">
        <f>E12/(1+Economic!$B$5)^A12</f>
        <v>#REF!</v>
      </c>
    </row>
    <row r="13" spans="1:7" x14ac:dyDescent="0.45">
      <c r="A13">
        <v>6</v>
      </c>
      <c r="B13" s="2" t="e">
        <f>'Technology Data'!#REF!</f>
        <v>#REF!</v>
      </c>
      <c r="C13" s="2" t="e">
        <f>B13/(1+Economic!$B$5)^A13</f>
        <v>#REF!</v>
      </c>
      <c r="D13" s="2"/>
      <c r="E13" s="2" t="e">
        <f t="shared" si="0"/>
        <v>#REF!</v>
      </c>
      <c r="F13" s="2" t="e">
        <f>E13/(1+Economic!$B$5)^A13</f>
        <v>#REF!</v>
      </c>
    </row>
    <row r="14" spans="1:7" x14ac:dyDescent="0.45">
      <c r="A14">
        <v>7</v>
      </c>
      <c r="B14" s="2" t="e">
        <f>'Technology Data'!#REF!</f>
        <v>#REF!</v>
      </c>
      <c r="C14" s="2" t="e">
        <f>B14/(1+Economic!$B$5)^A14</f>
        <v>#REF!</v>
      </c>
      <c r="D14" s="2"/>
      <c r="E14" s="2" t="e">
        <f t="shared" si="0"/>
        <v>#REF!</v>
      </c>
      <c r="F14" s="2" t="e">
        <f>E14/(1+Economic!$B$5)^A14</f>
        <v>#REF!</v>
      </c>
    </row>
    <row r="15" spans="1:7" x14ac:dyDescent="0.45">
      <c r="A15">
        <v>8</v>
      </c>
      <c r="B15" s="2" t="e">
        <f>'Technology Data'!#REF!</f>
        <v>#REF!</v>
      </c>
      <c r="C15" s="2" t="e">
        <f>B15/(1+Economic!$B$5)^A15</f>
        <v>#REF!</v>
      </c>
      <c r="D15" s="2"/>
      <c r="E15" s="2" t="e">
        <f t="shared" si="0"/>
        <v>#REF!</v>
      </c>
      <c r="F15" s="2" t="e">
        <f>E15/(1+Economic!$B$5)^A15</f>
        <v>#REF!</v>
      </c>
    </row>
    <row r="16" spans="1:7" x14ac:dyDescent="0.45">
      <c r="A16">
        <v>9</v>
      </c>
      <c r="B16" s="2" t="e">
        <f>'Technology Data'!#REF!</f>
        <v>#REF!</v>
      </c>
      <c r="C16" s="2" t="e">
        <f>B16/(1+Economic!$B$5)^A16</f>
        <v>#REF!</v>
      </c>
      <c r="D16" s="2"/>
      <c r="E16" s="2" t="e">
        <f t="shared" si="0"/>
        <v>#REF!</v>
      </c>
      <c r="F16" s="2" t="e">
        <f>E16/(1+Economic!$B$5)^A16</f>
        <v>#REF!</v>
      </c>
    </row>
    <row r="17" spans="1:7" x14ac:dyDescent="0.45">
      <c r="A17">
        <v>10</v>
      </c>
      <c r="B17" s="2" t="e">
        <f>'Technology Data'!#REF!</f>
        <v>#REF!</v>
      </c>
      <c r="C17" s="2" t="e">
        <f>B17/(1+Economic!$B$5)^A17</f>
        <v>#REF!</v>
      </c>
      <c r="D17" s="2"/>
      <c r="E17" s="2" t="e">
        <f t="shared" si="0"/>
        <v>#REF!</v>
      </c>
      <c r="F17" s="2" t="e">
        <f>E17/(1+Economic!$B$5)^A17</f>
        <v>#REF!</v>
      </c>
    </row>
    <row r="18" spans="1:7" x14ac:dyDescent="0.45">
      <c r="A18">
        <v>11</v>
      </c>
      <c r="B18" s="2" t="e">
        <f>'Technology Data'!#REF!</f>
        <v>#REF!</v>
      </c>
      <c r="C18" s="2" t="e">
        <f>B18/(1+Economic!$B$5)^A18</f>
        <v>#REF!</v>
      </c>
      <c r="D18" s="2"/>
      <c r="E18" s="2" t="e">
        <f t="shared" si="0"/>
        <v>#REF!</v>
      </c>
      <c r="F18" s="2" t="e">
        <f>E18/(1+Economic!$B$5)^A18</f>
        <v>#REF!</v>
      </c>
    </row>
    <row r="19" spans="1:7" x14ac:dyDescent="0.45">
      <c r="A19">
        <v>12</v>
      </c>
      <c r="B19" s="2" t="e">
        <f>'Technology Data'!#REF!</f>
        <v>#REF!</v>
      </c>
      <c r="C19" s="2" t="e">
        <f>B19/(1+Economic!$B$5)^A19</f>
        <v>#REF!</v>
      </c>
      <c r="D19" s="2"/>
      <c r="E19" s="2" t="e">
        <f t="shared" si="0"/>
        <v>#REF!</v>
      </c>
      <c r="F19" s="2" t="e">
        <f>E19/(1+Economic!$B$5)^A19</f>
        <v>#REF!</v>
      </c>
    </row>
    <row r="20" spans="1:7" x14ac:dyDescent="0.45">
      <c r="A20">
        <v>13</v>
      </c>
      <c r="B20" s="2" t="e">
        <f>'Technology Data'!#REF!</f>
        <v>#REF!</v>
      </c>
      <c r="C20" s="2" t="e">
        <f>B20/(1+Economic!$B$5)^A20</f>
        <v>#REF!</v>
      </c>
      <c r="D20" s="2"/>
      <c r="E20" s="2" t="e">
        <f t="shared" si="0"/>
        <v>#REF!</v>
      </c>
      <c r="F20" s="2" t="e">
        <f>E20/(1+Economic!$B$5)^A20</f>
        <v>#REF!</v>
      </c>
    </row>
    <row r="21" spans="1:7" x14ac:dyDescent="0.45">
      <c r="A21">
        <v>14</v>
      </c>
      <c r="B21" s="2" t="e">
        <f>'Technology Data'!#REF!</f>
        <v>#REF!</v>
      </c>
      <c r="C21" s="2" t="e">
        <f>B21/(1+Economic!$B$5)^A21</f>
        <v>#REF!</v>
      </c>
      <c r="D21" s="2"/>
      <c r="E21" s="2" t="e">
        <f t="shared" si="0"/>
        <v>#REF!</v>
      </c>
      <c r="F21" s="2" t="e">
        <f>E21/(1+Economic!$B$5)^A21</f>
        <v>#REF!</v>
      </c>
    </row>
    <row r="22" spans="1:7" x14ac:dyDescent="0.45">
      <c r="A22">
        <v>15</v>
      </c>
      <c r="B22" s="2" t="e">
        <f>'Technology Data'!#REF!</f>
        <v>#REF!</v>
      </c>
      <c r="C22" s="2" t="e">
        <f>B22/(1+Economic!$B$5)^A22</f>
        <v>#REF!</v>
      </c>
      <c r="D22" s="2"/>
      <c r="E22" s="2" t="e">
        <f t="shared" si="0"/>
        <v>#REF!</v>
      </c>
      <c r="F22" s="2" t="e">
        <f>E22/(1+Economic!$B$5)^A22</f>
        <v>#REF!</v>
      </c>
    </row>
    <row r="23" spans="1:7" x14ac:dyDescent="0.45">
      <c r="A23">
        <v>16</v>
      </c>
      <c r="B23" s="2" t="e">
        <f>'Technology Data'!#REF!</f>
        <v>#REF!</v>
      </c>
      <c r="C23" s="2" t="e">
        <f>B23/(1+Economic!$B$5)^A23</f>
        <v>#REF!</v>
      </c>
      <c r="D23" s="2"/>
      <c r="E23" s="2" t="e">
        <f t="shared" si="0"/>
        <v>#REF!</v>
      </c>
      <c r="F23" s="2" t="e">
        <f>E23/(1+Economic!$B$5)^A23</f>
        <v>#REF!</v>
      </c>
    </row>
    <row r="24" spans="1:7" x14ac:dyDescent="0.45">
      <c r="A24">
        <v>17</v>
      </c>
      <c r="B24" s="2" t="e">
        <f>'Technology Data'!#REF!</f>
        <v>#REF!</v>
      </c>
      <c r="C24" s="2" t="e">
        <f>B24/(1+Economic!$B$5)^A24</f>
        <v>#REF!</v>
      </c>
      <c r="D24" s="2"/>
      <c r="E24" s="2" t="e">
        <f t="shared" si="0"/>
        <v>#REF!</v>
      </c>
      <c r="F24" s="2" t="e">
        <f>E24/(1+Economic!$B$5)^A24</f>
        <v>#REF!</v>
      </c>
    </row>
    <row r="25" spans="1:7" x14ac:dyDescent="0.45">
      <c r="A25">
        <v>18</v>
      </c>
      <c r="B25" s="2" t="e">
        <f>'Technology Data'!#REF!</f>
        <v>#REF!</v>
      </c>
      <c r="C25" s="2" t="e">
        <f>B25/(1+Economic!$B$5)^A25</f>
        <v>#REF!</v>
      </c>
      <c r="D25" s="2"/>
      <c r="E25" s="2" t="e">
        <f t="shared" si="0"/>
        <v>#REF!</v>
      </c>
      <c r="F25" s="2" t="e">
        <f>E25/(1+Economic!$B$5)^A25</f>
        <v>#REF!</v>
      </c>
    </row>
    <row r="26" spans="1:7" x14ac:dyDescent="0.45">
      <c r="A26">
        <v>19</v>
      </c>
      <c r="B26" s="2" t="e">
        <f>'Technology Data'!#REF!</f>
        <v>#REF!</v>
      </c>
      <c r="C26" s="2" t="e">
        <f>B26/(1+Economic!$B$5)^A26</f>
        <v>#REF!</v>
      </c>
      <c r="D26" s="2"/>
      <c r="E26" s="2" t="e">
        <f t="shared" si="0"/>
        <v>#REF!</v>
      </c>
      <c r="F26" s="2" t="e">
        <f>E26/(1+Economic!$B$5)^A26</f>
        <v>#REF!</v>
      </c>
    </row>
    <row r="27" spans="1:7" x14ac:dyDescent="0.45">
      <c r="A27">
        <v>20</v>
      </c>
      <c r="B27" s="2" t="e">
        <f>'Technology Data'!#REF!</f>
        <v>#REF!</v>
      </c>
      <c r="C27" s="2" t="e">
        <f>B27/(1+Economic!$B$5)^A27</f>
        <v>#REF!</v>
      </c>
      <c r="D27" s="2"/>
      <c r="E27" s="2" t="e">
        <f t="shared" si="0"/>
        <v>#REF!</v>
      </c>
      <c r="F27" s="2" t="e">
        <f>E27/(1+Economic!$B$5)^A27</f>
        <v>#REF!</v>
      </c>
    </row>
    <row r="28" spans="1:7" x14ac:dyDescent="0.45">
      <c r="C28" s="2"/>
      <c r="D28" s="2"/>
      <c r="F28" s="2"/>
    </row>
    <row r="29" spans="1:7" x14ac:dyDescent="0.45">
      <c r="A29" s="153" t="s">
        <v>27</v>
      </c>
      <c r="B29" s="153"/>
      <c r="C29" s="153"/>
      <c r="D29" s="153"/>
      <c r="E29" s="153"/>
      <c r="F29" s="153"/>
      <c r="G29" s="153"/>
    </row>
    <row r="30" spans="1:7" x14ac:dyDescent="0.45">
      <c r="A30" t="s">
        <v>5</v>
      </c>
      <c r="B30" t="s">
        <v>19</v>
      </c>
      <c r="C30" t="s">
        <v>20</v>
      </c>
      <c r="D30" t="s">
        <v>23</v>
      </c>
      <c r="E30" t="s">
        <v>21</v>
      </c>
      <c r="F30" t="s">
        <v>22</v>
      </c>
      <c r="G30" t="s">
        <v>24</v>
      </c>
    </row>
    <row r="31" spans="1:7" x14ac:dyDescent="0.45">
      <c r="A31">
        <v>0</v>
      </c>
      <c r="B31" s="2" t="str">
        <f>'Technology Data'!D33</f>
        <v>Jet tuned in [7], diesel tuned in [1] - use [1] with info on jet tuning</v>
      </c>
      <c r="C31" s="2" t="e">
        <f>B31/(1+Economic!$B$5)^A31</f>
        <v>#VALUE!</v>
      </c>
      <c r="D31" s="3">
        <f>Economic!$B$5*(1+Economic!$B$5)^MAX($A$7:$A$27) /( (1+Economic!$B$5)^MAX($A$7:$A$27)-1)</f>
        <v>7.3581750328628834E-2</v>
      </c>
      <c r="G31" s="2" t="e">
        <f>SUM(F32:F51)</f>
        <v>#REF!</v>
      </c>
    </row>
    <row r="32" spans="1:7" x14ac:dyDescent="0.45">
      <c r="A32">
        <v>1</v>
      </c>
      <c r="B32" s="2" t="e">
        <f>'Technology Data'!#REF!</f>
        <v>#REF!</v>
      </c>
      <c r="C32" s="2" t="e">
        <f>B32/(1+Economic!$B$5)^A32</f>
        <v>#REF!</v>
      </c>
      <c r="D32" s="2"/>
      <c r="E32" s="2" t="e">
        <f>SUM($C$7:$C$27)*$D$7</f>
        <v>#REF!</v>
      </c>
      <c r="F32" s="2" t="e">
        <f>E32/(1+Economic!$B$5)^A32</f>
        <v>#REF!</v>
      </c>
    </row>
    <row r="33" spans="1:6" x14ac:dyDescent="0.45">
      <c r="A33">
        <v>2</v>
      </c>
      <c r="B33" s="2" t="e">
        <f>'Technology Data'!#REF!</f>
        <v>#REF!</v>
      </c>
      <c r="C33" s="2" t="e">
        <f>B33/(1+Economic!$B$5)^A33</f>
        <v>#REF!</v>
      </c>
      <c r="D33" s="2"/>
      <c r="E33" s="2" t="e">
        <f t="shared" ref="E33:E51" si="1">SUM($C$7:$C$27)*$D$7</f>
        <v>#REF!</v>
      </c>
      <c r="F33" s="2" t="e">
        <f>E33/(1+Economic!$B$5)^A33</f>
        <v>#REF!</v>
      </c>
    </row>
    <row r="34" spans="1:6" x14ac:dyDescent="0.45">
      <c r="A34">
        <v>3</v>
      </c>
      <c r="B34" s="2" t="e">
        <f>'Technology Data'!#REF!</f>
        <v>#REF!</v>
      </c>
      <c r="C34" s="2" t="e">
        <f>B34/(1+Economic!$B$5)^A34</f>
        <v>#REF!</v>
      </c>
      <c r="D34" s="2"/>
      <c r="E34" s="2" t="e">
        <f t="shared" si="1"/>
        <v>#REF!</v>
      </c>
      <c r="F34" s="2" t="e">
        <f>E34/(1+Economic!$B$5)^A34</f>
        <v>#REF!</v>
      </c>
    </row>
    <row r="35" spans="1:6" x14ac:dyDescent="0.45">
      <c r="A35">
        <v>4</v>
      </c>
      <c r="B35" s="2" t="e">
        <f>'Technology Data'!#REF!</f>
        <v>#REF!</v>
      </c>
      <c r="C35" s="2" t="e">
        <f>B35/(1+Economic!$B$5)^A35</f>
        <v>#REF!</v>
      </c>
      <c r="D35" s="2"/>
      <c r="E35" s="2" t="e">
        <f t="shared" si="1"/>
        <v>#REF!</v>
      </c>
      <c r="F35" s="2" t="e">
        <f>E35/(1+Economic!$B$5)^A35</f>
        <v>#REF!</v>
      </c>
    </row>
    <row r="36" spans="1:6" x14ac:dyDescent="0.45">
      <c r="A36">
        <v>5</v>
      </c>
      <c r="B36" s="2" t="e">
        <f>'Technology Data'!#REF!</f>
        <v>#REF!</v>
      </c>
      <c r="C36" s="2" t="e">
        <f>B36/(1+Economic!$B$5)^A36</f>
        <v>#REF!</v>
      </c>
      <c r="D36" s="2"/>
      <c r="E36" s="2" t="e">
        <f t="shared" si="1"/>
        <v>#REF!</v>
      </c>
      <c r="F36" s="2" t="e">
        <f>E36/(1+Economic!$B$5)^A36</f>
        <v>#REF!</v>
      </c>
    </row>
    <row r="37" spans="1:6" x14ac:dyDescent="0.45">
      <c r="A37">
        <v>6</v>
      </c>
      <c r="B37" s="2" t="e">
        <f>'Technology Data'!#REF!</f>
        <v>#REF!</v>
      </c>
      <c r="C37" s="2" t="e">
        <f>B37/(1+Economic!$B$5)^A37</f>
        <v>#REF!</v>
      </c>
      <c r="D37" s="2"/>
      <c r="E37" s="2" t="e">
        <f t="shared" si="1"/>
        <v>#REF!</v>
      </c>
      <c r="F37" s="2" t="e">
        <f>E37/(1+Economic!$B$5)^A37</f>
        <v>#REF!</v>
      </c>
    </row>
    <row r="38" spans="1:6" x14ac:dyDescent="0.45">
      <c r="A38">
        <v>7</v>
      </c>
      <c r="B38" s="2" t="e">
        <f>'Technology Data'!#REF!</f>
        <v>#REF!</v>
      </c>
      <c r="C38" s="2" t="e">
        <f>B38/(1+Economic!$B$5)^A38</f>
        <v>#REF!</v>
      </c>
      <c r="D38" s="2"/>
      <c r="E38" s="2" t="e">
        <f t="shared" si="1"/>
        <v>#REF!</v>
      </c>
      <c r="F38" s="2" t="e">
        <f>E38/(1+Economic!$B$5)^A38</f>
        <v>#REF!</v>
      </c>
    </row>
    <row r="39" spans="1:6" x14ac:dyDescent="0.45">
      <c r="A39">
        <v>8</v>
      </c>
      <c r="B39" s="2" t="e">
        <f>'Technology Data'!#REF!</f>
        <v>#REF!</v>
      </c>
      <c r="C39" s="2" t="e">
        <f>B39/(1+Economic!$B$5)^A39</f>
        <v>#REF!</v>
      </c>
      <c r="D39" s="2"/>
      <c r="E39" s="2" t="e">
        <f t="shared" si="1"/>
        <v>#REF!</v>
      </c>
      <c r="F39" s="2" t="e">
        <f>E39/(1+Economic!$B$5)^A39</f>
        <v>#REF!</v>
      </c>
    </row>
    <row r="40" spans="1:6" x14ac:dyDescent="0.45">
      <c r="A40">
        <v>9</v>
      </c>
      <c r="B40" s="2" t="e">
        <f>'Technology Data'!#REF!</f>
        <v>#REF!</v>
      </c>
      <c r="C40" s="2" t="e">
        <f>B40/(1+Economic!$B$5)^A40</f>
        <v>#REF!</v>
      </c>
      <c r="D40" s="2"/>
      <c r="E40" s="2" t="e">
        <f t="shared" si="1"/>
        <v>#REF!</v>
      </c>
      <c r="F40" s="2" t="e">
        <f>E40/(1+Economic!$B$5)^A40</f>
        <v>#REF!</v>
      </c>
    </row>
    <row r="41" spans="1:6" x14ac:dyDescent="0.45">
      <c r="A41">
        <v>10</v>
      </c>
      <c r="B41" s="2" t="e">
        <f>'Technology Data'!#REF!</f>
        <v>#REF!</v>
      </c>
      <c r="C41" s="2" t="e">
        <f>B41/(1+Economic!$B$5)^A41</f>
        <v>#REF!</v>
      </c>
      <c r="D41" s="2"/>
      <c r="E41" s="2" t="e">
        <f t="shared" si="1"/>
        <v>#REF!</v>
      </c>
      <c r="F41" s="2" t="e">
        <f>E41/(1+Economic!$B$5)^A41</f>
        <v>#REF!</v>
      </c>
    </row>
    <row r="42" spans="1:6" x14ac:dyDescent="0.45">
      <c r="A42">
        <v>11</v>
      </c>
      <c r="B42" s="2" t="e">
        <f>'Technology Data'!#REF!</f>
        <v>#REF!</v>
      </c>
      <c r="C42" s="2" t="e">
        <f>B42/(1+Economic!$B$5)^A42</f>
        <v>#REF!</v>
      </c>
      <c r="D42" s="2"/>
      <c r="E42" s="2" t="e">
        <f t="shared" si="1"/>
        <v>#REF!</v>
      </c>
      <c r="F42" s="2" t="e">
        <f>E42/(1+Economic!$B$5)^A42</f>
        <v>#REF!</v>
      </c>
    </row>
    <row r="43" spans="1:6" x14ac:dyDescent="0.45">
      <c r="A43">
        <v>12</v>
      </c>
      <c r="B43" s="2" t="e">
        <f>'Technology Data'!#REF!</f>
        <v>#REF!</v>
      </c>
      <c r="C43" s="2" t="e">
        <f>B43/(1+Economic!$B$5)^A43</f>
        <v>#REF!</v>
      </c>
      <c r="D43" s="2"/>
      <c r="E43" s="2" t="e">
        <f t="shared" si="1"/>
        <v>#REF!</v>
      </c>
      <c r="F43" s="2" t="e">
        <f>E43/(1+Economic!$B$5)^A43</f>
        <v>#REF!</v>
      </c>
    </row>
    <row r="44" spans="1:6" x14ac:dyDescent="0.45">
      <c r="A44">
        <v>13</v>
      </c>
      <c r="B44" s="2" t="e">
        <f>'Technology Data'!#REF!</f>
        <v>#REF!</v>
      </c>
      <c r="C44" s="2" t="e">
        <f>B44/(1+Economic!$B$5)^A44</f>
        <v>#REF!</v>
      </c>
      <c r="D44" s="2"/>
      <c r="E44" s="2" t="e">
        <f t="shared" si="1"/>
        <v>#REF!</v>
      </c>
      <c r="F44" s="2" t="e">
        <f>E44/(1+Economic!$B$5)^A44</f>
        <v>#REF!</v>
      </c>
    </row>
    <row r="45" spans="1:6" x14ac:dyDescent="0.45">
      <c r="A45">
        <v>14</v>
      </c>
      <c r="B45" s="2" t="e">
        <f>'Technology Data'!#REF!</f>
        <v>#REF!</v>
      </c>
      <c r="C45" s="2" t="e">
        <f>B45/(1+Economic!$B$5)^A45</f>
        <v>#REF!</v>
      </c>
      <c r="D45" s="2"/>
      <c r="E45" s="2" t="e">
        <f t="shared" si="1"/>
        <v>#REF!</v>
      </c>
      <c r="F45" s="2" t="e">
        <f>E45/(1+Economic!$B$5)^A45</f>
        <v>#REF!</v>
      </c>
    </row>
    <row r="46" spans="1:6" x14ac:dyDescent="0.45">
      <c r="A46">
        <v>15</v>
      </c>
      <c r="B46" s="2" t="e">
        <f>'Technology Data'!#REF!</f>
        <v>#REF!</v>
      </c>
      <c r="C46" s="2" t="e">
        <f>B46/(1+Economic!$B$5)^A46</f>
        <v>#REF!</v>
      </c>
      <c r="D46" s="2"/>
      <c r="E46" s="2" t="e">
        <f t="shared" si="1"/>
        <v>#REF!</v>
      </c>
      <c r="F46" s="2" t="e">
        <f>E46/(1+Economic!$B$5)^A46</f>
        <v>#REF!</v>
      </c>
    </row>
    <row r="47" spans="1:6" x14ac:dyDescent="0.45">
      <c r="A47">
        <v>16</v>
      </c>
      <c r="B47" s="2" t="e">
        <f>'Technology Data'!#REF!</f>
        <v>#REF!</v>
      </c>
      <c r="C47" s="2" t="e">
        <f>B47/(1+Economic!$B$5)^A47</f>
        <v>#REF!</v>
      </c>
      <c r="D47" s="2"/>
      <c r="E47" s="2" t="e">
        <f t="shared" si="1"/>
        <v>#REF!</v>
      </c>
      <c r="F47" s="2" t="e">
        <f>E47/(1+Economic!$B$5)^A47</f>
        <v>#REF!</v>
      </c>
    </row>
    <row r="48" spans="1:6" x14ac:dyDescent="0.45">
      <c r="A48">
        <v>17</v>
      </c>
      <c r="B48" s="2" t="e">
        <f>'Technology Data'!#REF!</f>
        <v>#REF!</v>
      </c>
      <c r="C48" s="2" t="e">
        <f>B48/(1+Economic!$B$5)^A48</f>
        <v>#REF!</v>
      </c>
      <c r="D48" s="2"/>
      <c r="E48" s="2" t="e">
        <f t="shared" si="1"/>
        <v>#REF!</v>
      </c>
      <c r="F48" s="2" t="e">
        <f>E48/(1+Economic!$B$5)^A48</f>
        <v>#REF!</v>
      </c>
    </row>
    <row r="49" spans="1:6" x14ac:dyDescent="0.45">
      <c r="A49">
        <v>18</v>
      </c>
      <c r="B49" s="2" t="e">
        <f>'Technology Data'!#REF!</f>
        <v>#REF!</v>
      </c>
      <c r="C49" s="2" t="e">
        <f>B49/(1+Economic!$B$5)^A49</f>
        <v>#REF!</v>
      </c>
      <c r="D49" s="2"/>
      <c r="E49" s="2" t="e">
        <f t="shared" si="1"/>
        <v>#REF!</v>
      </c>
      <c r="F49" s="2" t="e">
        <f>E49/(1+Economic!$B$5)^A49</f>
        <v>#REF!</v>
      </c>
    </row>
    <row r="50" spans="1:6" x14ac:dyDescent="0.45">
      <c r="A50">
        <v>19</v>
      </c>
      <c r="B50" s="2" t="e">
        <f>'Technology Data'!#REF!</f>
        <v>#REF!</v>
      </c>
      <c r="C50" s="2" t="e">
        <f>B50/(1+Economic!$B$5)^A50</f>
        <v>#REF!</v>
      </c>
      <c r="D50" s="2"/>
      <c r="E50" s="2" t="e">
        <f t="shared" si="1"/>
        <v>#REF!</v>
      </c>
      <c r="F50" s="2" t="e">
        <f>E50/(1+Economic!$B$5)^A50</f>
        <v>#REF!</v>
      </c>
    </row>
    <row r="51" spans="1:6" x14ac:dyDescent="0.45">
      <c r="A51">
        <v>20</v>
      </c>
      <c r="B51" s="2" t="e">
        <f>'Technology Data'!#REF!</f>
        <v>#REF!</v>
      </c>
      <c r="C51" s="2" t="e">
        <f>B51/(1+Economic!$B$5)^A51</f>
        <v>#REF!</v>
      </c>
      <c r="D51" s="2"/>
      <c r="E51" s="2" t="e">
        <f t="shared" si="1"/>
        <v>#REF!</v>
      </c>
      <c r="F51" s="2" t="e">
        <f>E51/(1+Economic!$B$5)^A51</f>
        <v>#REF!</v>
      </c>
    </row>
  </sheetData>
  <mergeCells count="2">
    <mergeCell ref="A5:G5"/>
    <mergeCell ref="A29:G29"/>
  </mergeCells>
  <pageMargins left="0.7" right="0.7" top="0.75" bottom="0.75" header="0.3" footer="0.3"/>
  <pageSetup paperSize="9" orientation="portrait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X387"/>
  <sheetViews>
    <sheetView zoomScale="70" zoomScaleNormal="70" workbookViewId="0">
      <selection activeCell="F220" sqref="F220"/>
    </sheetView>
  </sheetViews>
  <sheetFormatPr defaultRowHeight="14.25" x14ac:dyDescent="0.45"/>
  <cols>
    <col min="2" max="2" width="28" bestFit="1" customWidth="1"/>
    <col min="3" max="4" width="20.3984375" customWidth="1"/>
    <col min="5" max="5" width="17.3984375" customWidth="1"/>
    <col min="6" max="6" width="10" customWidth="1"/>
    <col min="7" max="7" width="16.86328125" bestFit="1" customWidth="1"/>
    <col min="8" max="8" width="17" customWidth="1"/>
    <col min="9" max="9" width="10.73046875" bestFit="1" customWidth="1"/>
    <col min="10" max="10" width="9.73046875" bestFit="1" customWidth="1"/>
    <col min="14" max="14" width="16.265625" customWidth="1"/>
    <col min="15" max="15" width="21.796875" customWidth="1"/>
    <col min="16" max="16" width="32.19921875" customWidth="1"/>
    <col min="17" max="17" width="26.265625" customWidth="1"/>
    <col min="18" max="18" width="13.265625" customWidth="1"/>
    <col min="19" max="19" width="11.73046875" customWidth="1"/>
  </cols>
  <sheetData>
    <row r="1" spans="1:5" x14ac:dyDescent="0.45">
      <c r="A1" t="s">
        <v>1</v>
      </c>
      <c r="B1" t="s">
        <v>983</v>
      </c>
    </row>
    <row r="6" spans="1:5" s="37" customFormat="1" x14ac:dyDescent="0.45">
      <c r="B6" s="37" t="s">
        <v>991</v>
      </c>
    </row>
    <row r="8" spans="1:5" x14ac:dyDescent="0.45">
      <c r="D8" t="s">
        <v>1031</v>
      </c>
      <c r="E8" t="s">
        <v>1030</v>
      </c>
    </row>
    <row r="9" spans="1:5" x14ac:dyDescent="0.45">
      <c r="B9" t="s">
        <v>82</v>
      </c>
      <c r="C9" t="s">
        <v>992</v>
      </c>
      <c r="D9">
        <v>0.6</v>
      </c>
      <c r="E9" t="s">
        <v>82</v>
      </c>
    </row>
    <row r="10" spans="1:5" x14ac:dyDescent="0.45">
      <c r="B10" t="s">
        <v>82</v>
      </c>
      <c r="C10" t="s">
        <v>994</v>
      </c>
      <c r="D10">
        <v>0.4</v>
      </c>
      <c r="E10" t="s">
        <v>82</v>
      </c>
    </row>
    <row r="11" spans="1:5" x14ac:dyDescent="0.45">
      <c r="B11" t="s">
        <v>82</v>
      </c>
      <c r="C11" t="s">
        <v>993</v>
      </c>
      <c r="D11">
        <v>0.4</v>
      </c>
      <c r="E11" t="s">
        <v>82</v>
      </c>
    </row>
    <row r="12" spans="1:5" x14ac:dyDescent="0.45">
      <c r="B12" t="s">
        <v>83</v>
      </c>
      <c r="C12" t="s">
        <v>992</v>
      </c>
      <c r="D12">
        <v>0.2</v>
      </c>
      <c r="E12" t="s">
        <v>82</v>
      </c>
    </row>
    <row r="13" spans="1:5" x14ac:dyDescent="0.45">
      <c r="B13" t="s">
        <v>83</v>
      </c>
      <c r="C13" t="s">
        <v>994</v>
      </c>
      <c r="D13">
        <v>0.3</v>
      </c>
      <c r="E13" t="s">
        <v>82</v>
      </c>
    </row>
    <row r="14" spans="1:5" x14ac:dyDescent="0.45">
      <c r="B14" t="s">
        <v>83</v>
      </c>
      <c r="C14" t="s">
        <v>993</v>
      </c>
      <c r="D14">
        <v>0.3</v>
      </c>
      <c r="E14" t="s">
        <v>82</v>
      </c>
    </row>
    <row r="15" spans="1:5" x14ac:dyDescent="0.45">
      <c r="B15" t="s">
        <v>84</v>
      </c>
      <c r="C15" t="s">
        <v>992</v>
      </c>
      <c r="D15">
        <v>0.5</v>
      </c>
      <c r="E15" t="s">
        <v>83</v>
      </c>
    </row>
    <row r="16" spans="1:5" x14ac:dyDescent="0.45">
      <c r="B16" t="s">
        <v>84</v>
      </c>
      <c r="C16" t="s">
        <v>994</v>
      </c>
      <c r="D16">
        <v>0.5</v>
      </c>
      <c r="E16" t="s">
        <v>83</v>
      </c>
    </row>
    <row r="17" spans="2:10" x14ac:dyDescent="0.45">
      <c r="B17" t="s">
        <v>84</v>
      </c>
      <c r="C17" t="s">
        <v>993</v>
      </c>
      <c r="D17">
        <v>0.5</v>
      </c>
      <c r="E17" t="s">
        <v>83</v>
      </c>
    </row>
    <row r="18" spans="2:10" x14ac:dyDescent="0.45">
      <c r="B18" t="s">
        <v>85</v>
      </c>
      <c r="C18" t="s">
        <v>992</v>
      </c>
      <c r="D18">
        <v>0.5</v>
      </c>
      <c r="E18" t="s">
        <v>83</v>
      </c>
    </row>
    <row r="19" spans="2:10" x14ac:dyDescent="0.45">
      <c r="B19" t="s">
        <v>85</v>
      </c>
      <c r="C19" t="s">
        <v>994</v>
      </c>
      <c r="D19">
        <v>0.5</v>
      </c>
      <c r="E19" t="s">
        <v>83</v>
      </c>
    </row>
    <row r="20" spans="2:10" x14ac:dyDescent="0.45">
      <c r="B20" t="s">
        <v>85</v>
      </c>
      <c r="C20" t="s">
        <v>993</v>
      </c>
      <c r="D20">
        <v>0.5</v>
      </c>
      <c r="E20" t="s">
        <v>83</v>
      </c>
    </row>
    <row r="21" spans="2:10" x14ac:dyDescent="0.45">
      <c r="B21" t="s">
        <v>86</v>
      </c>
      <c r="C21" t="s">
        <v>992</v>
      </c>
      <c r="D21">
        <v>0.2</v>
      </c>
      <c r="E21" t="s">
        <v>82</v>
      </c>
    </row>
    <row r="22" spans="2:10" x14ac:dyDescent="0.45">
      <c r="B22" t="s">
        <v>86</v>
      </c>
      <c r="C22" t="s">
        <v>994</v>
      </c>
      <c r="D22">
        <v>0.3</v>
      </c>
      <c r="E22" t="s">
        <v>82</v>
      </c>
    </row>
    <row r="23" spans="2:10" x14ac:dyDescent="0.45">
      <c r="B23" t="s">
        <v>86</v>
      </c>
      <c r="C23" t="s">
        <v>993</v>
      </c>
      <c r="D23">
        <v>0.3</v>
      </c>
      <c r="E23" t="s">
        <v>82</v>
      </c>
    </row>
    <row r="25" spans="2:10" s="37" customFormat="1" x14ac:dyDescent="0.45">
      <c r="B25" s="37" t="s">
        <v>1055</v>
      </c>
    </row>
    <row r="27" spans="2:10" x14ac:dyDescent="0.45">
      <c r="B27" s="12" t="s">
        <v>1053</v>
      </c>
    </row>
    <row r="28" spans="2:10" x14ac:dyDescent="0.45">
      <c r="B28" t="s">
        <v>1054</v>
      </c>
    </row>
    <row r="30" spans="2:10" x14ac:dyDescent="0.45">
      <c r="B30" t="s">
        <v>972</v>
      </c>
      <c r="C30" s="2" t="s">
        <v>984</v>
      </c>
      <c r="D30" s="2" t="s">
        <v>985</v>
      </c>
      <c r="E30" s="2" t="s">
        <v>82</v>
      </c>
      <c r="F30" s="2" t="s">
        <v>83</v>
      </c>
      <c r="G30" s="2" t="s">
        <v>87</v>
      </c>
      <c r="H30" t="s">
        <v>88</v>
      </c>
      <c r="I30" t="s">
        <v>89</v>
      </c>
      <c r="J30" t="s">
        <v>90</v>
      </c>
    </row>
    <row r="31" spans="2:10" x14ac:dyDescent="0.45">
      <c r="B31" t="s">
        <v>986</v>
      </c>
      <c r="C31" s="2"/>
      <c r="D31" s="2"/>
      <c r="E31" s="2"/>
      <c r="F31" s="2"/>
      <c r="G31" s="2"/>
    </row>
    <row r="32" spans="2:10" x14ac:dyDescent="0.45">
      <c r="B32">
        <v>2030</v>
      </c>
      <c r="C32" s="79">
        <v>13.03838</v>
      </c>
      <c r="D32" s="79">
        <v>2.0879599999999998</v>
      </c>
      <c r="E32" s="79">
        <v>10.49484</v>
      </c>
      <c r="F32" s="79">
        <v>1.94693</v>
      </c>
      <c r="G32" s="79">
        <v>0.27052999999999999</v>
      </c>
      <c r="H32" s="79">
        <v>0.40615000000000001</v>
      </c>
      <c r="I32" s="79">
        <v>14.45809</v>
      </c>
      <c r="J32" s="79">
        <v>0.97912999999999994</v>
      </c>
    </row>
    <row r="33" spans="2:10" x14ac:dyDescent="0.45">
      <c r="B33">
        <v>2040</v>
      </c>
      <c r="C33" s="79">
        <v>14.170022857142856</v>
      </c>
      <c r="D33" s="79">
        <v>2.2586085714285717</v>
      </c>
      <c r="E33" s="79">
        <v>11.412268571428571</v>
      </c>
      <c r="F33" s="79">
        <v>2.2064400000000002</v>
      </c>
      <c r="G33" s="79">
        <v>0.26398285714285719</v>
      </c>
      <c r="H33" s="79">
        <v>0.40490571428571431</v>
      </c>
      <c r="I33" s="79">
        <v>16.89284142857143</v>
      </c>
      <c r="J33" s="79">
        <v>1.0862000000000001</v>
      </c>
    </row>
    <row r="34" spans="2:10" x14ac:dyDescent="0.45">
      <c r="B34">
        <v>2050</v>
      </c>
      <c r="C34" s="79">
        <v>14.578575714285714</v>
      </c>
      <c r="D34" s="79">
        <v>2.3226085714285714</v>
      </c>
      <c r="E34" s="79">
        <v>11.77305</v>
      </c>
      <c r="F34" s="79">
        <v>2.3560971428571431</v>
      </c>
      <c r="G34" s="79">
        <v>0.26100285714285715</v>
      </c>
      <c r="H34" s="79">
        <v>0.40766285714285716</v>
      </c>
      <c r="I34" s="79">
        <v>19.788735714285714</v>
      </c>
      <c r="J34" s="79">
        <v>1.2228071428571428</v>
      </c>
    </row>
    <row r="35" spans="2:10" x14ac:dyDescent="0.45">
      <c r="B35" t="s">
        <v>987</v>
      </c>
      <c r="D35" s="2"/>
      <c r="E35" s="2"/>
      <c r="F35" s="2"/>
      <c r="G35" s="2"/>
    </row>
    <row r="36" spans="2:10" x14ac:dyDescent="0.45">
      <c r="B36">
        <v>2030</v>
      </c>
      <c r="C36">
        <v>7.2839600000000004</v>
      </c>
      <c r="D36" s="2">
        <v>11.00146</v>
      </c>
      <c r="E36" s="2">
        <v>7.0472999999999999</v>
      </c>
      <c r="F36" s="2">
        <v>3.16858</v>
      </c>
      <c r="G36" s="2">
        <v>1.1763399999999999</v>
      </c>
      <c r="H36">
        <v>2.7323500000000003</v>
      </c>
      <c r="I36">
        <v>21.238620000000001</v>
      </c>
      <c r="J36">
        <v>6.8021200000000004</v>
      </c>
    </row>
    <row r="37" spans="2:10" x14ac:dyDescent="0.45">
      <c r="B37">
        <v>2040</v>
      </c>
      <c r="C37">
        <v>0.73312999999999995</v>
      </c>
      <c r="D37" s="2">
        <v>1.10385</v>
      </c>
      <c r="E37" s="2">
        <v>0.86189000000000004</v>
      </c>
      <c r="F37" s="2">
        <v>0.64386999999999994</v>
      </c>
      <c r="G37" s="5">
        <v>0.14410999999999999</v>
      </c>
      <c r="H37">
        <v>0.34697</v>
      </c>
      <c r="I37">
        <v>2.6205600000000002</v>
      </c>
      <c r="J37">
        <v>0.85189000000000004</v>
      </c>
    </row>
    <row r="38" spans="2:10" x14ac:dyDescent="0.45">
      <c r="B38">
        <v>2050</v>
      </c>
      <c r="C38">
        <v>1.2999999999999999E-4</v>
      </c>
      <c r="D38">
        <v>2.0000000000000001E-4</v>
      </c>
      <c r="E38">
        <v>8.3300000000000006E-3</v>
      </c>
      <c r="F38">
        <v>6.0000000000000002E-5</v>
      </c>
      <c r="G38">
        <v>2.0000000000000002E-5</v>
      </c>
      <c r="H38">
        <v>3.0000000000000001E-5</v>
      </c>
      <c r="I38">
        <v>3.3E-4</v>
      </c>
      <c r="J38">
        <v>1E-4</v>
      </c>
    </row>
    <row r="39" spans="2:10" x14ac:dyDescent="0.45">
      <c r="B39" t="s">
        <v>988</v>
      </c>
    </row>
    <row r="40" spans="2:10" x14ac:dyDescent="0.45">
      <c r="B40">
        <v>2030</v>
      </c>
      <c r="C40">
        <v>2.1023199999999997</v>
      </c>
      <c r="D40">
        <v>4.3062100000000001</v>
      </c>
      <c r="E40">
        <v>3.6347899999999997</v>
      </c>
      <c r="F40">
        <v>1.54495</v>
      </c>
      <c r="G40">
        <v>0.73460999999999999</v>
      </c>
      <c r="H40">
        <v>1.7749999999999999</v>
      </c>
      <c r="I40">
        <v>9.2502900000000015</v>
      </c>
      <c r="J40">
        <v>5.7969299999999997</v>
      </c>
    </row>
    <row r="41" spans="2:10" x14ac:dyDescent="0.45">
      <c r="B41">
        <v>2040</v>
      </c>
      <c r="C41">
        <v>2.2906599999999999</v>
      </c>
      <c r="D41">
        <v>4.7318600000000002</v>
      </c>
      <c r="E41">
        <v>4.0136500000000002</v>
      </c>
      <c r="F41">
        <v>1.6865100000000002</v>
      </c>
      <c r="G41" s="2">
        <v>0.81966000000000006</v>
      </c>
      <c r="H41">
        <v>1.9475000000000002</v>
      </c>
      <c r="I41">
        <v>10.40043</v>
      </c>
      <c r="J41">
        <v>6.6313600000000008</v>
      </c>
    </row>
    <row r="42" spans="2:10" x14ac:dyDescent="0.45">
      <c r="B42">
        <v>2050</v>
      </c>
      <c r="C42">
        <v>2.4350800000000001</v>
      </c>
      <c r="D42">
        <v>5.0016500000000006</v>
      </c>
      <c r="E42">
        <v>4.2246700000000006</v>
      </c>
      <c r="F42">
        <v>1.7769600000000001</v>
      </c>
      <c r="G42">
        <v>0.89728000000000008</v>
      </c>
      <c r="H42">
        <v>2.1188799999999999</v>
      </c>
      <c r="I42">
        <v>11.241520000000001</v>
      </c>
      <c r="J42">
        <v>6.93947</v>
      </c>
    </row>
    <row r="43" spans="2:10" x14ac:dyDescent="0.45">
      <c r="B43" t="s">
        <v>989</v>
      </c>
    </row>
    <row r="44" spans="2:10" x14ac:dyDescent="0.45">
      <c r="B44">
        <v>2030</v>
      </c>
      <c r="C44">
        <v>1.09216</v>
      </c>
      <c r="D44">
        <v>1.6854800000000001</v>
      </c>
      <c r="E44">
        <v>4.9149799999999999</v>
      </c>
      <c r="F44">
        <v>0.35692000000000002</v>
      </c>
      <c r="G44">
        <v>5.3710000000000001E-2</v>
      </c>
      <c r="H44">
        <v>0.26766000000000001</v>
      </c>
      <c r="I44">
        <v>9.8561499999999995</v>
      </c>
      <c r="J44">
        <v>1.8513900000000001</v>
      </c>
    </row>
    <row r="45" spans="2:10" x14ac:dyDescent="0.45">
      <c r="B45">
        <v>2040</v>
      </c>
      <c r="C45">
        <v>3.388E-2</v>
      </c>
      <c r="D45">
        <v>4.3569999999999998E-2</v>
      </c>
      <c r="E45">
        <v>0.11297</v>
      </c>
      <c r="F45">
        <v>4.0550000000000003E-2</v>
      </c>
      <c r="G45">
        <v>1.703E-2</v>
      </c>
      <c r="H45">
        <v>3.6069999999999998E-2</v>
      </c>
      <c r="I45">
        <v>0.21554999999999999</v>
      </c>
      <c r="J45">
        <v>7.3120000000000004E-2</v>
      </c>
    </row>
    <row r="46" spans="2:10" x14ac:dyDescent="0.45">
      <c r="B46">
        <v>2050</v>
      </c>
      <c r="C46">
        <v>3.5340000000000003E-2</v>
      </c>
      <c r="D46">
        <v>4.546E-2</v>
      </c>
      <c r="E46">
        <v>0.12026000000000001</v>
      </c>
      <c r="F46">
        <v>4.3159999999999997E-2</v>
      </c>
      <c r="G46">
        <v>1.8190000000000001E-2</v>
      </c>
      <c r="H46">
        <v>3.8530000000000002E-2</v>
      </c>
      <c r="I46">
        <v>0.23022999999999999</v>
      </c>
      <c r="J46">
        <v>7.8100000000000003E-2</v>
      </c>
    </row>
    <row r="49" spans="2:10" s="37" customFormat="1" x14ac:dyDescent="0.45">
      <c r="B49" s="37" t="s">
        <v>990</v>
      </c>
    </row>
    <row r="52" spans="2:10" x14ac:dyDescent="0.45">
      <c r="B52" t="s">
        <v>972</v>
      </c>
      <c r="C52" s="2" t="s">
        <v>984</v>
      </c>
      <c r="D52" s="2" t="s">
        <v>985</v>
      </c>
      <c r="E52" s="2" t="s">
        <v>82</v>
      </c>
      <c r="F52" s="2" t="s">
        <v>83</v>
      </c>
      <c r="G52" s="2" t="s">
        <v>87</v>
      </c>
      <c r="H52" t="s">
        <v>88</v>
      </c>
      <c r="I52" t="s">
        <v>89</v>
      </c>
      <c r="J52" t="s">
        <v>90</v>
      </c>
    </row>
    <row r="53" spans="2:10" x14ac:dyDescent="0.45">
      <c r="B53" t="s">
        <v>986</v>
      </c>
      <c r="C53" s="2"/>
      <c r="D53" s="2"/>
      <c r="E53" s="2"/>
      <c r="F53" s="2"/>
      <c r="G53" s="2"/>
    </row>
    <row r="54" spans="2:10" x14ac:dyDescent="0.45">
      <c r="B54">
        <v>2030</v>
      </c>
      <c r="C54" s="2">
        <v>13.03838</v>
      </c>
      <c r="D54" s="2">
        <v>2.0879599999999998</v>
      </c>
      <c r="E54" s="2">
        <v>10.49484</v>
      </c>
      <c r="F54" s="2">
        <v>1.94693</v>
      </c>
      <c r="G54" s="2">
        <v>0.27052999999999999</v>
      </c>
      <c r="H54">
        <v>0.40615000000000001</v>
      </c>
      <c r="I54">
        <v>14.45809</v>
      </c>
      <c r="J54">
        <v>0.97912999999999994</v>
      </c>
    </row>
    <row r="55" spans="2:10" x14ac:dyDescent="0.45">
      <c r="B55">
        <v>2040</v>
      </c>
      <c r="C55" s="2">
        <v>13.623799999999999</v>
      </c>
      <c r="D55" s="2">
        <v>2.0905400000000003</v>
      </c>
      <c r="E55" s="2">
        <v>9.2694200000000002</v>
      </c>
      <c r="F55" s="2">
        <v>2.2064400000000002</v>
      </c>
      <c r="G55" s="5">
        <v>0.1953</v>
      </c>
      <c r="H55">
        <v>0.30587999999999999</v>
      </c>
      <c r="I55">
        <v>12.116849999999999</v>
      </c>
      <c r="J55">
        <v>0.77228000000000008</v>
      </c>
    </row>
    <row r="56" spans="2:10" x14ac:dyDescent="0.45">
      <c r="B56">
        <v>2050</v>
      </c>
      <c r="C56">
        <v>10.276910000000001</v>
      </c>
      <c r="D56" s="2">
        <v>1.5537000000000001</v>
      </c>
      <c r="E56" s="2">
        <v>3.2813699999999999</v>
      </c>
      <c r="F56" s="2">
        <v>0.68454000000000004</v>
      </c>
      <c r="G56" s="2">
        <v>5.9659999999999998E-2</v>
      </c>
      <c r="H56">
        <v>0.11668000000000001</v>
      </c>
      <c r="I56">
        <v>13.207549999999999</v>
      </c>
      <c r="J56">
        <v>0.69317000000000006</v>
      </c>
    </row>
    <row r="57" spans="2:10" x14ac:dyDescent="0.45">
      <c r="B57" t="s">
        <v>987</v>
      </c>
      <c r="D57" s="2"/>
      <c r="E57" s="2"/>
      <c r="F57" s="2"/>
      <c r="G57" s="2"/>
    </row>
    <row r="58" spans="2:10" x14ac:dyDescent="0.45">
      <c r="B58">
        <v>2030</v>
      </c>
      <c r="C58">
        <v>7.2839600000000004</v>
      </c>
      <c r="D58" s="2">
        <v>11.00146</v>
      </c>
      <c r="E58" s="2">
        <v>7.0472999999999999</v>
      </c>
      <c r="F58" s="2">
        <v>3.16858</v>
      </c>
      <c r="G58" s="2">
        <v>1.1763399999999999</v>
      </c>
      <c r="H58">
        <v>2.7323500000000003</v>
      </c>
      <c r="I58">
        <v>21.238620000000001</v>
      </c>
      <c r="J58">
        <v>6.8021200000000004</v>
      </c>
    </row>
    <row r="59" spans="2:10" x14ac:dyDescent="0.45">
      <c r="B59">
        <v>2040</v>
      </c>
      <c r="C59">
        <v>0.73312999999999995</v>
      </c>
      <c r="D59" s="2">
        <v>1.10385</v>
      </c>
      <c r="E59" s="2">
        <v>0.86189000000000004</v>
      </c>
      <c r="F59" s="2">
        <v>0.64386999999999994</v>
      </c>
      <c r="G59" s="5">
        <v>0.14410999999999999</v>
      </c>
      <c r="H59">
        <v>0.34697</v>
      </c>
      <c r="I59">
        <v>2.6205600000000002</v>
      </c>
      <c r="J59">
        <v>0.85189000000000004</v>
      </c>
    </row>
    <row r="60" spans="2:10" x14ac:dyDescent="0.45">
      <c r="B60">
        <v>2050</v>
      </c>
      <c r="C60">
        <v>1.2999999999999999E-4</v>
      </c>
      <c r="D60">
        <v>2.0000000000000001E-4</v>
      </c>
      <c r="E60">
        <v>8.3300000000000006E-3</v>
      </c>
      <c r="F60">
        <v>6.0000000000000002E-5</v>
      </c>
      <c r="G60">
        <v>2.0000000000000002E-5</v>
      </c>
      <c r="H60">
        <v>3.0000000000000001E-5</v>
      </c>
      <c r="I60">
        <v>3.3E-4</v>
      </c>
      <c r="J60">
        <v>1E-4</v>
      </c>
    </row>
    <row r="61" spans="2:10" x14ac:dyDescent="0.45">
      <c r="B61" t="s">
        <v>988</v>
      </c>
    </row>
    <row r="62" spans="2:10" x14ac:dyDescent="0.45">
      <c r="B62">
        <v>2030</v>
      </c>
      <c r="C62">
        <v>2.1023199999999997</v>
      </c>
      <c r="D62">
        <v>4.3062100000000001</v>
      </c>
      <c r="E62">
        <v>3.6347899999999997</v>
      </c>
      <c r="F62">
        <v>1.54495</v>
      </c>
      <c r="G62">
        <v>0.73460999999999999</v>
      </c>
      <c r="H62">
        <v>1.7749999999999999</v>
      </c>
      <c r="I62">
        <v>9.2502900000000015</v>
      </c>
      <c r="J62">
        <v>5.7969299999999997</v>
      </c>
    </row>
    <row r="63" spans="2:10" x14ac:dyDescent="0.45">
      <c r="B63">
        <v>2040</v>
      </c>
      <c r="C63">
        <v>2.2906599999999999</v>
      </c>
      <c r="D63">
        <v>4.7318600000000002</v>
      </c>
      <c r="E63">
        <v>4.0136500000000002</v>
      </c>
      <c r="F63">
        <v>1.6865100000000002</v>
      </c>
      <c r="G63" s="2">
        <v>0.81966000000000006</v>
      </c>
      <c r="H63">
        <v>1.9475000000000002</v>
      </c>
      <c r="I63">
        <v>10.40043</v>
      </c>
      <c r="J63">
        <v>6.6313600000000008</v>
      </c>
    </row>
    <row r="64" spans="2:10" x14ac:dyDescent="0.45">
      <c r="B64">
        <v>2050</v>
      </c>
      <c r="C64">
        <v>2.4350800000000001</v>
      </c>
      <c r="D64">
        <v>5.0016500000000006</v>
      </c>
      <c r="E64">
        <v>4.2246700000000006</v>
      </c>
      <c r="F64">
        <v>1.7769600000000001</v>
      </c>
      <c r="G64">
        <v>0.89728000000000008</v>
      </c>
      <c r="H64">
        <v>2.1188799999999999</v>
      </c>
      <c r="I64">
        <v>11.241520000000001</v>
      </c>
      <c r="J64">
        <v>6.93947</v>
      </c>
    </row>
    <row r="65" spans="2:10" x14ac:dyDescent="0.45">
      <c r="B65" t="s">
        <v>989</v>
      </c>
    </row>
    <row r="66" spans="2:10" x14ac:dyDescent="0.45">
      <c r="B66">
        <v>2030</v>
      </c>
      <c r="C66">
        <v>1.09216</v>
      </c>
      <c r="D66">
        <v>1.6854800000000001</v>
      </c>
      <c r="E66">
        <v>4.9149799999999999</v>
      </c>
      <c r="F66">
        <v>0.35692000000000002</v>
      </c>
      <c r="G66">
        <v>5.3710000000000001E-2</v>
      </c>
      <c r="H66">
        <v>0.26766000000000001</v>
      </c>
      <c r="I66">
        <v>9.8561499999999995</v>
      </c>
      <c r="J66">
        <v>1.8513900000000001</v>
      </c>
    </row>
    <row r="67" spans="2:10" x14ac:dyDescent="0.45">
      <c r="B67">
        <v>2040</v>
      </c>
      <c r="C67">
        <v>3.388E-2</v>
      </c>
      <c r="D67">
        <v>4.3569999999999998E-2</v>
      </c>
      <c r="E67">
        <v>0.11297</v>
      </c>
      <c r="F67">
        <v>4.0550000000000003E-2</v>
      </c>
      <c r="G67">
        <v>1.703E-2</v>
      </c>
      <c r="H67">
        <v>3.6069999999999998E-2</v>
      </c>
      <c r="I67">
        <v>0.21554999999999999</v>
      </c>
      <c r="J67">
        <v>7.3120000000000004E-2</v>
      </c>
    </row>
    <row r="68" spans="2:10" x14ac:dyDescent="0.45">
      <c r="B68">
        <v>2050</v>
      </c>
      <c r="C68">
        <v>3.5340000000000003E-2</v>
      </c>
      <c r="D68">
        <v>4.546E-2</v>
      </c>
      <c r="E68">
        <v>0.12026000000000001</v>
      </c>
      <c r="F68">
        <v>4.3159999999999997E-2</v>
      </c>
      <c r="G68">
        <v>1.8190000000000001E-2</v>
      </c>
      <c r="H68">
        <v>3.8530000000000002E-2</v>
      </c>
      <c r="I68">
        <v>0.23022999999999999</v>
      </c>
      <c r="J68">
        <v>7.8100000000000003E-2</v>
      </c>
    </row>
    <row r="70" spans="2:10" x14ac:dyDescent="0.45">
      <c r="C70" s="2"/>
    </row>
    <row r="72" spans="2:10" s="37" customFormat="1" x14ac:dyDescent="0.45">
      <c r="B72" s="37" t="s">
        <v>1052</v>
      </c>
    </row>
    <row r="75" spans="2:10" x14ac:dyDescent="0.45">
      <c r="B75" t="s">
        <v>972</v>
      </c>
      <c r="C75" s="2" t="s">
        <v>984</v>
      </c>
      <c r="D75" s="2" t="s">
        <v>985</v>
      </c>
      <c r="E75" s="2" t="s">
        <v>82</v>
      </c>
      <c r="F75" s="2" t="s">
        <v>83</v>
      </c>
      <c r="G75" s="2" t="s">
        <v>87</v>
      </c>
      <c r="H75" t="s">
        <v>88</v>
      </c>
      <c r="I75" t="s">
        <v>89</v>
      </c>
      <c r="J75" t="s">
        <v>90</v>
      </c>
    </row>
    <row r="76" spans="2:10" x14ac:dyDescent="0.45">
      <c r="B76" t="s">
        <v>986</v>
      </c>
      <c r="C76" s="2"/>
      <c r="D76" s="2"/>
      <c r="E76" s="2"/>
      <c r="F76" s="2"/>
      <c r="G76" s="2"/>
    </row>
    <row r="77" spans="2:10" x14ac:dyDescent="0.45">
      <c r="B77">
        <v>2030</v>
      </c>
      <c r="C77" s="2">
        <v>13.03838</v>
      </c>
      <c r="D77" s="2">
        <v>2.0879599999999998</v>
      </c>
      <c r="E77" s="2">
        <v>10.49484</v>
      </c>
      <c r="F77" s="2">
        <v>1.94693</v>
      </c>
      <c r="G77" s="2">
        <v>0.27052999999999999</v>
      </c>
      <c r="H77">
        <v>0.40615000000000001</v>
      </c>
      <c r="I77">
        <v>14.45809</v>
      </c>
      <c r="J77">
        <v>0.97912999999999994</v>
      </c>
    </row>
    <row r="78" spans="2:10" x14ac:dyDescent="0.45">
      <c r="B78">
        <v>2040</v>
      </c>
      <c r="C78" s="2">
        <v>13.623799999999999</v>
      </c>
      <c r="D78" s="2">
        <v>2.0905400000000003</v>
      </c>
      <c r="E78" s="2">
        <v>9.2694200000000002</v>
      </c>
      <c r="F78" s="2">
        <v>2.2064400000000002</v>
      </c>
      <c r="G78" s="5">
        <v>0.1953</v>
      </c>
      <c r="H78">
        <v>0.30587999999999999</v>
      </c>
      <c r="I78">
        <v>12.116849999999999</v>
      </c>
      <c r="J78">
        <v>0.77228000000000008</v>
      </c>
    </row>
    <row r="79" spans="2:10" x14ac:dyDescent="0.45">
      <c r="B79">
        <v>2050</v>
      </c>
      <c r="C79">
        <v>10.276910000000001</v>
      </c>
      <c r="D79" s="2">
        <v>1.5537000000000001</v>
      </c>
      <c r="E79" s="2">
        <v>3.2813699999999999</v>
      </c>
      <c r="F79" s="2">
        <v>0.68454000000000004</v>
      </c>
      <c r="G79" s="2">
        <v>5.9659999999999998E-2</v>
      </c>
      <c r="H79">
        <v>0.11668000000000001</v>
      </c>
      <c r="I79">
        <v>13.207549999999999</v>
      </c>
      <c r="J79">
        <v>0.69317000000000006</v>
      </c>
    </row>
    <row r="80" spans="2:10" x14ac:dyDescent="0.45">
      <c r="B80" t="s">
        <v>987</v>
      </c>
      <c r="D80" s="2"/>
      <c r="E80" s="2"/>
      <c r="F80" s="2"/>
      <c r="G80" s="2"/>
    </row>
    <row r="81" spans="1:10" x14ac:dyDescent="0.45">
      <c r="B81">
        <v>2030</v>
      </c>
      <c r="C81">
        <v>7.2839600000000004</v>
      </c>
      <c r="D81" s="2">
        <v>11.00146</v>
      </c>
      <c r="E81" s="2">
        <v>7.0472999999999999</v>
      </c>
      <c r="F81" s="2">
        <v>3.16858</v>
      </c>
      <c r="G81" s="2">
        <v>1.1763399999999999</v>
      </c>
      <c r="H81">
        <v>2.7323500000000003</v>
      </c>
      <c r="I81">
        <v>21.238620000000001</v>
      </c>
      <c r="J81">
        <v>6.8021200000000004</v>
      </c>
    </row>
    <row r="82" spans="1:10" x14ac:dyDescent="0.45">
      <c r="B82">
        <v>2040</v>
      </c>
      <c r="C82">
        <v>0.73312999999999995</v>
      </c>
      <c r="D82" s="2">
        <v>1.10385</v>
      </c>
      <c r="E82" s="2">
        <v>0.86189000000000004</v>
      </c>
      <c r="F82" s="2">
        <v>0.64386999999999994</v>
      </c>
      <c r="G82" s="5">
        <v>0.14410999999999999</v>
      </c>
      <c r="H82">
        <v>0.34697</v>
      </c>
      <c r="I82">
        <v>2.6205600000000002</v>
      </c>
      <c r="J82">
        <v>0.85189000000000004</v>
      </c>
    </row>
    <row r="83" spans="1:10" x14ac:dyDescent="0.45">
      <c r="B83">
        <v>2050</v>
      </c>
      <c r="C83">
        <v>1.2999999999999999E-4</v>
      </c>
      <c r="D83">
        <v>2.0000000000000001E-4</v>
      </c>
      <c r="E83">
        <v>8.3300000000000006E-3</v>
      </c>
      <c r="F83">
        <v>6.0000000000000002E-5</v>
      </c>
      <c r="G83">
        <v>2.0000000000000002E-5</v>
      </c>
      <c r="H83">
        <v>3.0000000000000001E-5</v>
      </c>
      <c r="I83">
        <v>3.3E-4</v>
      </c>
      <c r="J83">
        <v>1E-4</v>
      </c>
    </row>
    <row r="84" spans="1:10" x14ac:dyDescent="0.45">
      <c r="B84" t="s">
        <v>988</v>
      </c>
    </row>
    <row r="85" spans="1:10" x14ac:dyDescent="0.45">
      <c r="B85">
        <v>2030</v>
      </c>
      <c r="C85">
        <v>2.1023199999999997</v>
      </c>
      <c r="D85">
        <v>4.3062100000000001</v>
      </c>
      <c r="E85">
        <v>3.6347899999999997</v>
      </c>
      <c r="F85">
        <v>1.54495</v>
      </c>
      <c r="G85">
        <v>0.73460999999999999</v>
      </c>
      <c r="H85">
        <v>1.7749999999999999</v>
      </c>
      <c r="I85">
        <v>9.2502900000000015</v>
      </c>
      <c r="J85">
        <v>5.7969299999999997</v>
      </c>
    </row>
    <row r="86" spans="1:10" x14ac:dyDescent="0.45">
      <c r="B86">
        <v>2040</v>
      </c>
      <c r="C86">
        <v>2.2906599999999999</v>
      </c>
      <c r="D86">
        <v>4.7318600000000002</v>
      </c>
      <c r="E86">
        <v>4.0136500000000002</v>
      </c>
      <c r="F86">
        <v>1.6865100000000002</v>
      </c>
      <c r="G86" s="2">
        <v>0.81966000000000006</v>
      </c>
      <c r="H86">
        <v>1.9475000000000002</v>
      </c>
      <c r="I86">
        <v>10.40043</v>
      </c>
      <c r="J86">
        <v>6.6313600000000008</v>
      </c>
    </row>
    <row r="87" spans="1:10" x14ac:dyDescent="0.45">
      <c r="B87">
        <v>2050</v>
      </c>
      <c r="C87">
        <v>2.4350800000000001</v>
      </c>
      <c r="D87">
        <v>5.0016500000000006</v>
      </c>
      <c r="E87">
        <v>4.2246700000000006</v>
      </c>
      <c r="F87">
        <v>1.7769600000000001</v>
      </c>
      <c r="G87">
        <v>0.89728000000000008</v>
      </c>
      <c r="H87">
        <v>2.1188799999999999</v>
      </c>
      <c r="I87">
        <v>11.241520000000001</v>
      </c>
      <c r="J87">
        <v>6.93947</v>
      </c>
    </row>
    <row r="88" spans="1:10" x14ac:dyDescent="0.45">
      <c r="B88" t="s">
        <v>989</v>
      </c>
    </row>
    <row r="89" spans="1:10" x14ac:dyDescent="0.45">
      <c r="B89">
        <v>2030</v>
      </c>
      <c r="C89">
        <v>1.09216</v>
      </c>
      <c r="D89">
        <v>1.6854800000000001</v>
      </c>
      <c r="E89">
        <v>4.9149799999999999</v>
      </c>
      <c r="F89">
        <v>0.35692000000000002</v>
      </c>
      <c r="G89">
        <v>5.3710000000000001E-2</v>
      </c>
      <c r="H89">
        <v>0.26766000000000001</v>
      </c>
      <c r="I89">
        <v>9.8561499999999995</v>
      </c>
      <c r="J89">
        <v>1.8513900000000001</v>
      </c>
    </row>
    <row r="90" spans="1:10" x14ac:dyDescent="0.45">
      <c r="B90">
        <v>2040</v>
      </c>
      <c r="C90">
        <v>3.388E-2</v>
      </c>
      <c r="D90">
        <v>4.3569999999999998E-2</v>
      </c>
      <c r="E90">
        <v>0.11297</v>
      </c>
      <c r="F90">
        <v>4.0550000000000003E-2</v>
      </c>
      <c r="G90">
        <v>1.703E-2</v>
      </c>
      <c r="H90">
        <v>3.6069999999999998E-2</v>
      </c>
      <c r="I90">
        <v>0.21554999999999999</v>
      </c>
      <c r="J90">
        <v>7.3120000000000004E-2</v>
      </c>
    </row>
    <row r="91" spans="1:10" x14ac:dyDescent="0.45">
      <c r="B91">
        <v>2050</v>
      </c>
      <c r="C91">
        <v>3.5340000000000003E-2</v>
      </c>
      <c r="D91">
        <v>4.546E-2</v>
      </c>
      <c r="E91">
        <v>0.12026000000000001</v>
      </c>
      <c r="F91">
        <v>4.3159999999999997E-2</v>
      </c>
      <c r="G91">
        <v>1.8190000000000001E-2</v>
      </c>
      <c r="H91">
        <v>3.8530000000000002E-2</v>
      </c>
      <c r="I91">
        <v>0.23022999999999999</v>
      </c>
      <c r="J91">
        <v>7.8100000000000003E-2</v>
      </c>
    </row>
    <row r="93" spans="1:10" x14ac:dyDescent="0.45">
      <c r="C93" s="2"/>
    </row>
    <row r="94" spans="1:10" s="37" customFormat="1" x14ac:dyDescent="0.45">
      <c r="B94" s="37" t="s">
        <v>995</v>
      </c>
    </row>
    <row r="96" spans="1:10" x14ac:dyDescent="0.45">
      <c r="A96" s="12"/>
    </row>
    <row r="97" spans="2:9" x14ac:dyDescent="0.45">
      <c r="B97" t="s">
        <v>1041</v>
      </c>
      <c r="C97" t="s">
        <v>1042</v>
      </c>
      <c r="D97" t="s">
        <v>287</v>
      </c>
      <c r="E97" t="s">
        <v>1043</v>
      </c>
      <c r="F97" t="s">
        <v>1044</v>
      </c>
      <c r="G97" s="2" t="s">
        <v>1045</v>
      </c>
      <c r="H97" s="2"/>
    </row>
    <row r="98" spans="2:9" x14ac:dyDescent="0.45">
      <c r="B98" t="s">
        <v>996</v>
      </c>
      <c r="C98" t="s">
        <v>526</v>
      </c>
      <c r="D98">
        <v>2030</v>
      </c>
      <c r="E98" s="2">
        <f>C85*1000000/8736</f>
        <v>240.6501831501831</v>
      </c>
      <c r="F98" t="s">
        <v>997</v>
      </c>
      <c r="G98" s="2">
        <f>E98*8760/1000000</f>
        <v>2.1080956043956038</v>
      </c>
      <c r="H98" s="2"/>
    </row>
    <row r="99" spans="2:9" x14ac:dyDescent="0.45">
      <c r="B99" t="s">
        <v>996</v>
      </c>
      <c r="C99" t="s">
        <v>526</v>
      </c>
      <c r="D99">
        <v>2040</v>
      </c>
      <c r="E99" s="2">
        <f>C86*1000000/8736</f>
        <v>262.20924908424911</v>
      </c>
      <c r="F99" t="s">
        <v>997</v>
      </c>
      <c r="G99" s="2">
        <f t="shared" ref="G99:G162" si="0">E99*8760/1000000</f>
        <v>2.2969530219780219</v>
      </c>
      <c r="H99" s="2"/>
    </row>
    <row r="100" spans="2:9" x14ac:dyDescent="0.45">
      <c r="B100" t="s">
        <v>996</v>
      </c>
      <c r="C100" t="s">
        <v>526</v>
      </c>
      <c r="D100">
        <v>2050</v>
      </c>
      <c r="E100" s="2">
        <f>C87*1000000/8736</f>
        <v>278.74084249084251</v>
      </c>
      <c r="F100" t="s">
        <v>997</v>
      </c>
      <c r="G100" s="2">
        <f>E100*8760/1000</f>
        <v>2441.7697802197804</v>
      </c>
      <c r="H100" s="2"/>
    </row>
    <row r="101" spans="2:9" x14ac:dyDescent="0.45">
      <c r="B101" t="s">
        <v>998</v>
      </c>
      <c r="C101" t="s">
        <v>526</v>
      </c>
      <c r="D101">
        <v>2030</v>
      </c>
      <c r="E101" s="2">
        <f>D85*1000000/8736</f>
        <v>492.92696886446885</v>
      </c>
      <c r="F101" t="s">
        <v>997</v>
      </c>
      <c r="G101" s="2">
        <f t="shared" si="0"/>
        <v>4.318040247252747</v>
      </c>
      <c r="H101" s="2"/>
    </row>
    <row r="102" spans="2:9" x14ac:dyDescent="0.45">
      <c r="B102" t="s">
        <v>998</v>
      </c>
      <c r="C102" t="s">
        <v>526</v>
      </c>
      <c r="D102">
        <v>2040</v>
      </c>
      <c r="E102" s="2">
        <f>D86*1000000/8736</f>
        <v>541.65064102564099</v>
      </c>
      <c r="F102" t="s">
        <v>997</v>
      </c>
      <c r="G102" s="2">
        <f t="shared" si="0"/>
        <v>4.7448596153846152</v>
      </c>
      <c r="H102" s="2"/>
      <c r="I102" s="2"/>
    </row>
    <row r="103" spans="2:9" x14ac:dyDescent="0.45">
      <c r="B103" t="s">
        <v>998</v>
      </c>
      <c r="C103" t="s">
        <v>526</v>
      </c>
      <c r="D103">
        <v>2050</v>
      </c>
      <c r="E103" s="2">
        <f>D87*1000000/8736</f>
        <v>572.53319597069606</v>
      </c>
      <c r="F103" t="s">
        <v>997</v>
      </c>
      <c r="G103" s="2">
        <f>E103*8760/1000</f>
        <v>5015.3907967032974</v>
      </c>
    </row>
    <row r="104" spans="2:9" x14ac:dyDescent="0.45">
      <c r="B104" t="s">
        <v>999</v>
      </c>
      <c r="C104" t="s">
        <v>526</v>
      </c>
      <c r="D104">
        <v>2030</v>
      </c>
      <c r="E104" s="2">
        <f>C77*1000000/8736</f>
        <v>1492.4885531135531</v>
      </c>
      <c r="F104" t="s">
        <v>997</v>
      </c>
      <c r="G104" s="2">
        <f t="shared" si="0"/>
        <v>13.074199725274726</v>
      </c>
    </row>
    <row r="105" spans="2:9" x14ac:dyDescent="0.45">
      <c r="B105" t="s">
        <v>999</v>
      </c>
      <c r="C105" t="s">
        <v>526</v>
      </c>
      <c r="D105">
        <v>2040</v>
      </c>
      <c r="E105" s="2">
        <f t="shared" ref="E105:E106" si="1">C78*1000000/8736</f>
        <v>1559.5009157509157</v>
      </c>
      <c r="F105" t="s">
        <v>997</v>
      </c>
      <c r="G105" s="2">
        <f t="shared" si="0"/>
        <v>13.661228021978022</v>
      </c>
    </row>
    <row r="106" spans="2:9" x14ac:dyDescent="0.45">
      <c r="B106" t="s">
        <v>999</v>
      </c>
      <c r="C106" t="s">
        <v>526</v>
      </c>
      <c r="D106">
        <v>2050</v>
      </c>
      <c r="E106" s="2">
        <f t="shared" si="1"/>
        <v>1176.386217948718</v>
      </c>
      <c r="F106" t="s">
        <v>997</v>
      </c>
      <c r="G106" s="2">
        <f>E106*8760/1000</f>
        <v>10305.14326923077</v>
      </c>
    </row>
    <row r="107" spans="2:9" x14ac:dyDescent="0.45">
      <c r="B107" t="s">
        <v>1000</v>
      </c>
      <c r="C107" t="s">
        <v>526</v>
      </c>
      <c r="D107">
        <v>2030</v>
      </c>
      <c r="E107" s="2">
        <f>D77*1000000/8736</f>
        <v>239.00641025641022</v>
      </c>
      <c r="F107" t="s">
        <v>997</v>
      </c>
      <c r="G107" s="2">
        <f t="shared" si="0"/>
        <v>2.0936961538461536</v>
      </c>
    </row>
    <row r="108" spans="2:9" x14ac:dyDescent="0.45">
      <c r="B108" t="s">
        <v>1000</v>
      </c>
      <c r="C108" t="s">
        <v>526</v>
      </c>
      <c r="D108">
        <v>2040</v>
      </c>
      <c r="E108" s="2">
        <f>D78*1000000/8736</f>
        <v>239.30173992673994</v>
      </c>
      <c r="F108" t="s">
        <v>997</v>
      </c>
      <c r="G108" s="2">
        <f t="shared" si="0"/>
        <v>2.096283241758242</v>
      </c>
    </row>
    <row r="109" spans="2:9" x14ac:dyDescent="0.45">
      <c r="B109" t="s">
        <v>1000</v>
      </c>
      <c r="C109" t="s">
        <v>526</v>
      </c>
      <c r="D109">
        <v>2050</v>
      </c>
      <c r="E109" s="2">
        <f>D79*1000000/8736</f>
        <v>177.85027472527472</v>
      </c>
      <c r="F109" t="s">
        <v>997</v>
      </c>
      <c r="G109" s="2">
        <f>E109*8760/1000</f>
        <v>1557.9684065934066</v>
      </c>
    </row>
    <row r="110" spans="2:9" x14ac:dyDescent="0.45">
      <c r="B110" t="s">
        <v>1001</v>
      </c>
      <c r="C110" t="s">
        <v>526</v>
      </c>
      <c r="D110">
        <v>2030</v>
      </c>
      <c r="E110" s="2">
        <f>(C81+C89)*1000000/8736</f>
        <v>958.80494505494505</v>
      </c>
      <c r="F110" t="s">
        <v>997</v>
      </c>
      <c r="G110" s="2">
        <f t="shared" si="0"/>
        <v>8.3991313186813183</v>
      </c>
    </row>
    <row r="111" spans="2:9" x14ac:dyDescent="0.45">
      <c r="B111" t="s">
        <v>1001</v>
      </c>
      <c r="C111" t="s">
        <v>526</v>
      </c>
      <c r="D111">
        <v>2040</v>
      </c>
      <c r="E111" s="2">
        <f>(C82+C90)*1000000/8736</f>
        <v>87.798763736263737</v>
      </c>
      <c r="F111" t="s">
        <v>997</v>
      </c>
      <c r="G111" s="2">
        <f t="shared" si="0"/>
        <v>0.76911717032967031</v>
      </c>
    </row>
    <row r="112" spans="2:9" x14ac:dyDescent="0.45">
      <c r="B112" t="s">
        <v>1001</v>
      </c>
      <c r="C112" t="s">
        <v>526</v>
      </c>
      <c r="D112">
        <v>2050</v>
      </c>
      <c r="E112" s="2">
        <f>(C83+C91)*1000000/8736</f>
        <v>4.0602106227106223</v>
      </c>
      <c r="F112" t="s">
        <v>997</v>
      </c>
      <c r="G112" s="2">
        <f>E112*8760/1000</f>
        <v>35.567445054945047</v>
      </c>
    </row>
    <row r="113" spans="2:7" x14ac:dyDescent="0.45">
      <c r="B113" t="s">
        <v>1002</v>
      </c>
      <c r="C113" t="s">
        <v>526</v>
      </c>
      <c r="D113">
        <v>2030</v>
      </c>
      <c r="E113" s="2">
        <f>(D81+D89)*1000000/8736</f>
        <v>1452.2596153846155</v>
      </c>
      <c r="F113" t="s">
        <v>997</v>
      </c>
      <c r="G113" s="2">
        <f t="shared" si="0"/>
        <v>12.721794230769232</v>
      </c>
    </row>
    <row r="114" spans="2:7" x14ac:dyDescent="0.45">
      <c r="B114" t="s">
        <v>1002</v>
      </c>
      <c r="C114" t="s">
        <v>526</v>
      </c>
      <c r="D114">
        <v>2040</v>
      </c>
      <c r="E114" s="2">
        <f t="shared" ref="E114:E115" si="2">(D82+D90)*1000000/8736</f>
        <v>131.34386446886447</v>
      </c>
      <c r="F114" t="s">
        <v>997</v>
      </c>
      <c r="G114" s="2">
        <f t="shared" si="0"/>
        <v>1.1505722527472528</v>
      </c>
    </row>
    <row r="115" spans="2:7" x14ac:dyDescent="0.45">
      <c r="B115" t="s">
        <v>1002</v>
      </c>
      <c r="C115" t="s">
        <v>526</v>
      </c>
      <c r="D115">
        <v>2050</v>
      </c>
      <c r="E115" s="2">
        <f t="shared" si="2"/>
        <v>5.2266483516483513</v>
      </c>
      <c r="F115" t="s">
        <v>997</v>
      </c>
      <c r="G115" s="2">
        <f>E115*8760/1000</f>
        <v>45.785439560439556</v>
      </c>
    </row>
    <row r="116" spans="2:7" x14ac:dyDescent="0.45">
      <c r="B116" t="s">
        <v>1003</v>
      </c>
      <c r="C116" t="s">
        <v>526</v>
      </c>
      <c r="D116">
        <v>2030</v>
      </c>
      <c r="E116" s="2">
        <f>G77*1000000/8736</f>
        <v>30.967261904761905</v>
      </c>
      <c r="F116" t="s">
        <v>997</v>
      </c>
      <c r="G116" s="2">
        <f t="shared" si="0"/>
        <v>0.27127321428571427</v>
      </c>
    </row>
    <row r="117" spans="2:7" x14ac:dyDescent="0.45">
      <c r="B117" t="s">
        <v>1003</v>
      </c>
      <c r="C117" t="s">
        <v>526</v>
      </c>
      <c r="D117">
        <v>2040</v>
      </c>
      <c r="E117" s="2">
        <f t="shared" ref="E117:E118" si="3">G78*1000000/8736</f>
        <v>22.35576923076923</v>
      </c>
      <c r="F117" t="s">
        <v>997</v>
      </c>
      <c r="G117" s="2">
        <f t="shared" si="0"/>
        <v>0.19583653846153848</v>
      </c>
    </row>
    <row r="118" spans="2:7" x14ac:dyDescent="0.45">
      <c r="B118" t="s">
        <v>1003</v>
      </c>
      <c r="C118" t="s">
        <v>526</v>
      </c>
      <c r="D118">
        <v>2050</v>
      </c>
      <c r="E118" s="2">
        <f t="shared" si="3"/>
        <v>6.8292124542124544</v>
      </c>
      <c r="F118" t="s">
        <v>997</v>
      </c>
      <c r="G118" s="2">
        <f>E118*8760/1000</f>
        <v>59.823901098901104</v>
      </c>
    </row>
    <row r="119" spans="2:7" x14ac:dyDescent="0.45">
      <c r="B119" t="s">
        <v>1004</v>
      </c>
      <c r="C119" t="s">
        <v>526</v>
      </c>
      <c r="D119">
        <v>2030</v>
      </c>
      <c r="E119" s="2">
        <f>H77*1000000/8736</f>
        <v>46.491529304029307</v>
      </c>
      <c r="F119" t="s">
        <v>997</v>
      </c>
      <c r="G119" s="2">
        <f t="shared" si="0"/>
        <v>0.40726579670329671</v>
      </c>
    </row>
    <row r="120" spans="2:7" x14ac:dyDescent="0.45">
      <c r="B120" t="s">
        <v>1004</v>
      </c>
      <c r="C120" t="s">
        <v>526</v>
      </c>
      <c r="D120">
        <v>2040</v>
      </c>
      <c r="E120" s="2">
        <f>H78*1000000/8736</f>
        <v>35.013736263736263</v>
      </c>
      <c r="F120" t="s">
        <v>997</v>
      </c>
      <c r="G120" s="2">
        <f t="shared" si="0"/>
        <v>0.30672032967032964</v>
      </c>
    </row>
    <row r="121" spans="2:7" x14ac:dyDescent="0.45">
      <c r="B121" t="s">
        <v>1004</v>
      </c>
      <c r="C121" t="s">
        <v>526</v>
      </c>
      <c r="D121">
        <v>2050</v>
      </c>
      <c r="E121" s="2">
        <f>H79*1000000/8736</f>
        <v>13.356227106227106</v>
      </c>
      <c r="F121" t="s">
        <v>997</v>
      </c>
      <c r="G121" s="2">
        <f>E121*8760/1000</f>
        <v>117.00054945054944</v>
      </c>
    </row>
    <row r="122" spans="2:7" x14ac:dyDescent="0.45">
      <c r="B122" t="s">
        <v>1005</v>
      </c>
      <c r="C122" t="s">
        <v>526</v>
      </c>
      <c r="D122">
        <v>2030</v>
      </c>
      <c r="E122" s="2">
        <f>I77*1000000/8736</f>
        <v>1655.0011446886447</v>
      </c>
      <c r="F122" t="s">
        <v>997</v>
      </c>
      <c r="G122" s="2">
        <f t="shared" si="0"/>
        <v>14.497810027472529</v>
      </c>
    </row>
    <row r="123" spans="2:7" x14ac:dyDescent="0.45">
      <c r="B123" t="s">
        <v>1005</v>
      </c>
      <c r="C123" t="s">
        <v>526</v>
      </c>
      <c r="D123">
        <v>2040</v>
      </c>
      <c r="E123" s="2">
        <f t="shared" ref="E123:E124" si="4">I78*1000000/8736</f>
        <v>1387.0020604395604</v>
      </c>
      <c r="F123" t="s">
        <v>997</v>
      </c>
      <c r="G123" s="2">
        <f t="shared" si="0"/>
        <v>12.150138049450549</v>
      </c>
    </row>
    <row r="124" spans="2:7" x14ac:dyDescent="0.45">
      <c r="B124" t="s">
        <v>1005</v>
      </c>
      <c r="C124" t="s">
        <v>526</v>
      </c>
      <c r="D124">
        <v>2050</v>
      </c>
      <c r="E124" s="2">
        <f t="shared" si="4"/>
        <v>1511.853250915751</v>
      </c>
      <c r="F124" t="s">
        <v>997</v>
      </c>
      <c r="G124" s="2">
        <f>E124*8760/1000</f>
        <v>13243.83447802198</v>
      </c>
    </row>
    <row r="125" spans="2:7" x14ac:dyDescent="0.45">
      <c r="B125" t="s">
        <v>1006</v>
      </c>
      <c r="C125" t="s">
        <v>526</v>
      </c>
      <c r="D125">
        <v>2030</v>
      </c>
      <c r="E125" s="2">
        <f>J77*1000000/8736</f>
        <v>112.07989926739927</v>
      </c>
      <c r="F125" t="s">
        <v>997</v>
      </c>
      <c r="G125" s="2">
        <f t="shared" si="0"/>
        <v>0.9818199175824176</v>
      </c>
    </row>
    <row r="126" spans="2:7" x14ac:dyDescent="0.45">
      <c r="B126" t="s">
        <v>1006</v>
      </c>
      <c r="C126" t="s">
        <v>526</v>
      </c>
      <c r="D126">
        <v>2040</v>
      </c>
      <c r="E126" s="2">
        <f t="shared" ref="E126:E127" si="5">J78*1000000/8736</f>
        <v>88.402014652014671</v>
      </c>
      <c r="F126" t="s">
        <v>997</v>
      </c>
      <c r="G126" s="2">
        <f t="shared" si="0"/>
        <v>0.77440164835164849</v>
      </c>
    </row>
    <row r="127" spans="2:7" x14ac:dyDescent="0.45">
      <c r="B127" t="s">
        <v>1006</v>
      </c>
      <c r="C127" t="s">
        <v>526</v>
      </c>
      <c r="D127">
        <v>2050</v>
      </c>
      <c r="E127" s="2">
        <f t="shared" si="5"/>
        <v>79.346382783882802</v>
      </c>
      <c r="F127" t="s">
        <v>997</v>
      </c>
      <c r="G127" s="2">
        <f>E127*8760/1000</f>
        <v>695.07431318681336</v>
      </c>
    </row>
    <row r="128" spans="2:7" x14ac:dyDescent="0.45">
      <c r="B128" t="s">
        <v>1007</v>
      </c>
      <c r="C128" t="s">
        <v>526</v>
      </c>
      <c r="D128">
        <v>2030</v>
      </c>
      <c r="E128" s="2">
        <f>(G81+G89)*1000000/8736</f>
        <v>140.80242673992672</v>
      </c>
      <c r="F128" t="s">
        <v>997</v>
      </c>
      <c r="G128" s="2">
        <f t="shared" si="0"/>
        <v>1.2334292582417581</v>
      </c>
    </row>
    <row r="129" spans="2:7" x14ac:dyDescent="0.45">
      <c r="B129" t="s">
        <v>1007</v>
      </c>
      <c r="C129" t="s">
        <v>526</v>
      </c>
      <c r="D129">
        <v>2040</v>
      </c>
      <c r="E129" s="2">
        <f t="shared" ref="E129:E130" si="6">(G82+G90)*1000000/8736</f>
        <v>18.445512820512818</v>
      </c>
      <c r="F129" t="s">
        <v>997</v>
      </c>
      <c r="G129" s="2">
        <f t="shared" si="0"/>
        <v>0.16158269230769229</v>
      </c>
    </row>
    <row r="130" spans="2:7" x14ac:dyDescent="0.45">
      <c r="B130" t="s">
        <v>1007</v>
      </c>
      <c r="C130" t="s">
        <v>526</v>
      </c>
      <c r="D130">
        <v>2050</v>
      </c>
      <c r="E130" s="2">
        <f t="shared" si="6"/>
        <v>2.0844780219780219</v>
      </c>
      <c r="F130" t="s">
        <v>997</v>
      </c>
      <c r="G130" s="2">
        <f>E130*8760/1000</f>
        <v>18.260027472527472</v>
      </c>
    </row>
    <row r="131" spans="2:7" x14ac:dyDescent="0.45">
      <c r="B131" t="s">
        <v>1008</v>
      </c>
      <c r="C131" t="s">
        <v>526</v>
      </c>
      <c r="D131">
        <v>2030</v>
      </c>
      <c r="E131" s="2">
        <f>(H81+H89)*1000000/8736</f>
        <v>343.40773809523813</v>
      </c>
      <c r="F131" t="s">
        <v>997</v>
      </c>
      <c r="G131" s="2">
        <f t="shared" si="0"/>
        <v>3.0082517857142861</v>
      </c>
    </row>
    <row r="132" spans="2:7" x14ac:dyDescent="0.45">
      <c r="B132" t="s">
        <v>1008</v>
      </c>
      <c r="C132" t="s">
        <v>526</v>
      </c>
      <c r="D132">
        <v>2040</v>
      </c>
      <c r="E132" s="2">
        <f t="shared" ref="E132:E133" si="7">(H82+H90)*1000000/8736</f>
        <v>43.846153846153847</v>
      </c>
      <c r="F132" t="s">
        <v>997</v>
      </c>
      <c r="G132" s="2">
        <f t="shared" si="0"/>
        <v>0.38409230769230768</v>
      </c>
    </row>
    <row r="133" spans="2:7" x14ac:dyDescent="0.45">
      <c r="B133" t="s">
        <v>1008</v>
      </c>
      <c r="C133" t="s">
        <v>526</v>
      </c>
      <c r="D133">
        <v>2050</v>
      </c>
      <c r="E133" s="2">
        <f t="shared" si="7"/>
        <v>4.4139194139194151</v>
      </c>
      <c r="F133" t="s">
        <v>997</v>
      </c>
      <c r="G133" s="2">
        <f>E133*8760/1000</f>
        <v>38.665934065934074</v>
      </c>
    </row>
    <row r="134" spans="2:7" x14ac:dyDescent="0.45">
      <c r="B134" t="s">
        <v>1009</v>
      </c>
      <c r="C134" t="s">
        <v>526</v>
      </c>
      <c r="D134">
        <v>2030</v>
      </c>
      <c r="E134" s="2">
        <f>(I81+I89)*1000000/8736</f>
        <v>3559.3830128205127</v>
      </c>
      <c r="F134" t="s">
        <v>997</v>
      </c>
      <c r="G134" s="2">
        <f t="shared" si="0"/>
        <v>31.180195192307693</v>
      </c>
    </row>
    <row r="135" spans="2:7" x14ac:dyDescent="0.45">
      <c r="B135" t="s">
        <v>1009</v>
      </c>
      <c r="C135" t="s">
        <v>526</v>
      </c>
      <c r="D135">
        <v>2040</v>
      </c>
      <c r="E135" s="2">
        <f t="shared" ref="E135:E136" si="8">(I82+I90)*1000000/8736</f>
        <v>324.64629120879118</v>
      </c>
      <c r="F135" t="s">
        <v>997</v>
      </c>
      <c r="G135" s="2">
        <f t="shared" si="0"/>
        <v>2.8439015109890109</v>
      </c>
    </row>
    <row r="136" spans="2:7" x14ac:dyDescent="0.45">
      <c r="B136" t="s">
        <v>1009</v>
      </c>
      <c r="C136" t="s">
        <v>526</v>
      </c>
      <c r="D136">
        <v>2050</v>
      </c>
      <c r="E136" s="2">
        <f t="shared" si="8"/>
        <v>26.391941391941391</v>
      </c>
      <c r="F136" t="s">
        <v>997</v>
      </c>
      <c r="G136" s="2">
        <f>E136*8760/1000</f>
        <v>231.19340659340656</v>
      </c>
    </row>
    <row r="137" spans="2:7" x14ac:dyDescent="0.45">
      <c r="B137" t="s">
        <v>1010</v>
      </c>
      <c r="C137" t="s">
        <v>526</v>
      </c>
      <c r="D137">
        <v>2030</v>
      </c>
      <c r="E137" s="2">
        <f>(J81+J89)*1000000/8736</f>
        <v>990.55746336996333</v>
      </c>
      <c r="F137" t="s">
        <v>997</v>
      </c>
      <c r="G137" s="2">
        <f t="shared" si="0"/>
        <v>8.6772833791208797</v>
      </c>
    </row>
    <row r="138" spans="2:7" x14ac:dyDescent="0.45">
      <c r="B138" t="s">
        <v>1010</v>
      </c>
      <c r="C138" t="s">
        <v>526</v>
      </c>
      <c r="D138">
        <v>2040</v>
      </c>
      <c r="E138" s="2">
        <f>(J82+J90)*1000000/8736</f>
        <v>105.88484432234432</v>
      </c>
      <c r="F138" t="s">
        <v>997</v>
      </c>
      <c r="G138" s="2">
        <f t="shared" si="0"/>
        <v>0.92755123626373626</v>
      </c>
    </row>
    <row r="139" spans="2:7" x14ac:dyDescent="0.45">
      <c r="B139" t="s">
        <v>1010</v>
      </c>
      <c r="C139" t="s">
        <v>526</v>
      </c>
      <c r="D139">
        <v>2050</v>
      </c>
      <c r="E139" s="2">
        <f>(J83+J91)*1000000/8736</f>
        <v>8.9514652014652007</v>
      </c>
      <c r="F139" t="s">
        <v>997</v>
      </c>
      <c r="G139" s="2">
        <f>E139*8760/1000</f>
        <v>78.414835164835154</v>
      </c>
    </row>
    <row r="140" spans="2:7" x14ac:dyDescent="0.45">
      <c r="B140" t="s">
        <v>1011</v>
      </c>
      <c r="C140" t="s">
        <v>526</v>
      </c>
      <c r="D140">
        <v>2030</v>
      </c>
      <c r="E140" s="2">
        <f>G85*1000000/8736</f>
        <v>84.089972527472526</v>
      </c>
      <c r="F140" t="s">
        <v>997</v>
      </c>
      <c r="G140" s="2">
        <f t="shared" si="0"/>
        <v>0.73662815934065928</v>
      </c>
    </row>
    <row r="141" spans="2:7" x14ac:dyDescent="0.45">
      <c r="B141" t="s">
        <v>1011</v>
      </c>
      <c r="C141" t="s">
        <v>526</v>
      </c>
      <c r="D141">
        <v>2040</v>
      </c>
      <c r="E141" s="2">
        <f t="shared" ref="E141:E142" si="9">G86*1000000/8736</f>
        <v>93.825549450549445</v>
      </c>
      <c r="F141" t="s">
        <v>997</v>
      </c>
      <c r="G141" s="2">
        <f t="shared" si="0"/>
        <v>0.82191181318681317</v>
      </c>
    </row>
    <row r="142" spans="2:7" x14ac:dyDescent="0.45">
      <c r="B142" t="s">
        <v>1011</v>
      </c>
      <c r="C142" t="s">
        <v>526</v>
      </c>
      <c r="D142">
        <v>2050</v>
      </c>
      <c r="E142" s="2">
        <f t="shared" si="9"/>
        <v>102.71062271062273</v>
      </c>
      <c r="F142" t="s">
        <v>997</v>
      </c>
      <c r="G142" s="2">
        <f>E142*8760/1000</f>
        <v>899.74505494505513</v>
      </c>
    </row>
    <row r="143" spans="2:7" x14ac:dyDescent="0.45">
      <c r="B143" t="s">
        <v>1012</v>
      </c>
      <c r="C143" t="s">
        <v>526</v>
      </c>
      <c r="D143">
        <v>2030</v>
      </c>
      <c r="E143" s="2">
        <f>H85*1000000/8736</f>
        <v>203.18223443223442</v>
      </c>
      <c r="F143" t="s">
        <v>997</v>
      </c>
      <c r="G143" s="2">
        <f t="shared" si="0"/>
        <v>1.7798763736263734</v>
      </c>
    </row>
    <row r="144" spans="2:7" x14ac:dyDescent="0.45">
      <c r="B144" t="s">
        <v>1012</v>
      </c>
      <c r="C144" t="s">
        <v>526</v>
      </c>
      <c r="D144">
        <v>2040</v>
      </c>
      <c r="E144" s="2">
        <f t="shared" ref="E144:E145" si="10">H86*1000000/8736</f>
        <v>222.92811355311358</v>
      </c>
      <c r="F144" t="s">
        <v>997</v>
      </c>
      <c r="G144" s="2">
        <f t="shared" si="0"/>
        <v>1.9528502747252749</v>
      </c>
    </row>
    <row r="145" spans="2:7" x14ac:dyDescent="0.45">
      <c r="B145" t="s">
        <v>1012</v>
      </c>
      <c r="C145" t="s">
        <v>526</v>
      </c>
      <c r="D145">
        <v>2050</v>
      </c>
      <c r="E145" s="2">
        <f t="shared" si="10"/>
        <v>242.54578754578753</v>
      </c>
      <c r="F145" t="s">
        <v>997</v>
      </c>
      <c r="G145" s="2">
        <f>E145*8760/1000</f>
        <v>2124.7010989010987</v>
      </c>
    </row>
    <row r="146" spans="2:7" x14ac:dyDescent="0.45">
      <c r="B146" t="s">
        <v>1013</v>
      </c>
      <c r="C146" t="s">
        <v>526</v>
      </c>
      <c r="D146">
        <v>2030</v>
      </c>
      <c r="E146" s="2">
        <f>I85*1000000/8736</f>
        <v>1058.8701923076926</v>
      </c>
      <c r="F146" t="s">
        <v>997</v>
      </c>
      <c r="G146" s="2">
        <f t="shared" si="0"/>
        <v>9.2757028846153879</v>
      </c>
    </row>
    <row r="147" spans="2:7" x14ac:dyDescent="0.45">
      <c r="B147" t="s">
        <v>1013</v>
      </c>
      <c r="C147" t="s">
        <v>526</v>
      </c>
      <c r="D147">
        <v>2040</v>
      </c>
      <c r="E147" s="2">
        <f t="shared" ref="E147:E148" si="11">I86*1000000/8736</f>
        <v>1190.5254120879122</v>
      </c>
      <c r="F147" t="s">
        <v>997</v>
      </c>
      <c r="G147" s="2">
        <f t="shared" si="0"/>
        <v>10.429002609890111</v>
      </c>
    </row>
    <row r="148" spans="2:7" x14ac:dyDescent="0.45">
      <c r="B148" t="s">
        <v>1013</v>
      </c>
      <c r="C148" t="s">
        <v>526</v>
      </c>
      <c r="D148">
        <v>2050</v>
      </c>
      <c r="E148" s="2">
        <f t="shared" si="11"/>
        <v>1286.8040293040294</v>
      </c>
      <c r="F148" t="s">
        <v>997</v>
      </c>
      <c r="G148" s="2">
        <f>E148*8760/1000</f>
        <v>11272.403296703298</v>
      </c>
    </row>
    <row r="149" spans="2:7" x14ac:dyDescent="0.45">
      <c r="B149" t="s">
        <v>1014</v>
      </c>
      <c r="C149" t="s">
        <v>526</v>
      </c>
      <c r="D149">
        <v>2030</v>
      </c>
      <c r="E149" s="2">
        <f>J85*1000000/8736</f>
        <v>663.56799450549454</v>
      </c>
      <c r="F149" t="s">
        <v>997</v>
      </c>
      <c r="G149" s="2">
        <f t="shared" si="0"/>
        <v>5.8128556318681328</v>
      </c>
    </row>
    <row r="150" spans="2:7" x14ac:dyDescent="0.45">
      <c r="B150" t="s">
        <v>1014</v>
      </c>
      <c r="C150" t="s">
        <v>526</v>
      </c>
      <c r="D150">
        <v>2040</v>
      </c>
      <c r="E150" s="2">
        <f t="shared" ref="E150:E151" si="12">J86*1000000/8736</f>
        <v>759.08424908424922</v>
      </c>
      <c r="F150" t="s">
        <v>997</v>
      </c>
      <c r="G150" s="2">
        <f t="shared" si="0"/>
        <v>6.6495780219780238</v>
      </c>
    </row>
    <row r="151" spans="2:7" x14ac:dyDescent="0.45">
      <c r="B151" t="s">
        <v>1014</v>
      </c>
      <c r="C151" t="s">
        <v>526</v>
      </c>
      <c r="D151">
        <v>2050</v>
      </c>
      <c r="E151" s="2">
        <f t="shared" si="12"/>
        <v>794.35325091575089</v>
      </c>
      <c r="F151" t="s">
        <v>997</v>
      </c>
      <c r="G151" s="2">
        <f>E151*8760/1000</f>
        <v>6958.5344780219775</v>
      </c>
    </row>
    <row r="152" spans="2:7" x14ac:dyDescent="0.45">
      <c r="B152" t="s">
        <v>1015</v>
      </c>
      <c r="C152" t="s">
        <v>526</v>
      </c>
      <c r="D152">
        <v>2030</v>
      </c>
      <c r="E152" s="2">
        <f>E85*1000000/8736*$D$11</f>
        <v>166.42811355311355</v>
      </c>
      <c r="F152" t="s">
        <v>997</v>
      </c>
      <c r="G152" s="2">
        <f t="shared" si="0"/>
        <v>1.4579102747252746</v>
      </c>
    </row>
    <row r="153" spans="2:7" x14ac:dyDescent="0.45">
      <c r="B153" t="s">
        <v>1015</v>
      </c>
      <c r="C153" t="s">
        <v>526</v>
      </c>
      <c r="D153">
        <v>2040</v>
      </c>
      <c r="E153" s="2">
        <f t="shared" ref="E153:E154" si="13">E86*1000000/8736*$D$11</f>
        <v>183.77518315018315</v>
      </c>
      <c r="F153" t="s">
        <v>997</v>
      </c>
      <c r="G153" s="2">
        <f t="shared" si="0"/>
        <v>1.6098706043956044</v>
      </c>
    </row>
    <row r="154" spans="2:7" x14ac:dyDescent="0.45">
      <c r="B154" t="s">
        <v>1015</v>
      </c>
      <c r="C154" t="s">
        <v>526</v>
      </c>
      <c r="D154">
        <v>2050</v>
      </c>
      <c r="E154" s="2">
        <f t="shared" si="13"/>
        <v>193.43727106227112</v>
      </c>
      <c r="F154" t="s">
        <v>997</v>
      </c>
      <c r="G154" s="2">
        <f>E154*8760/1000</f>
        <v>1694.510494505495</v>
      </c>
    </row>
    <row r="155" spans="2:7" x14ac:dyDescent="0.45">
      <c r="B155" t="s">
        <v>1016</v>
      </c>
      <c r="C155" t="s">
        <v>526</v>
      </c>
      <c r="D155">
        <v>2030</v>
      </c>
      <c r="E155" s="2">
        <f>E85*1000000/8736*$D$14</f>
        <v>124.82108516483514</v>
      </c>
      <c r="F155" t="s">
        <v>997</v>
      </c>
      <c r="G155" s="2">
        <f t="shared" si="0"/>
        <v>1.0934327060439559</v>
      </c>
    </row>
    <row r="156" spans="2:7" x14ac:dyDescent="0.45">
      <c r="B156" t="s">
        <v>1016</v>
      </c>
      <c r="C156" t="s">
        <v>526</v>
      </c>
      <c r="D156">
        <v>2040</v>
      </c>
      <c r="E156" s="2">
        <f t="shared" ref="E156:E157" si="14">E86*1000000/8736*$D$14</f>
        <v>137.83138736263734</v>
      </c>
      <c r="F156" t="s">
        <v>997</v>
      </c>
      <c r="G156" s="2">
        <f t="shared" si="0"/>
        <v>1.207402953296703</v>
      </c>
    </row>
    <row r="157" spans="2:7" x14ac:dyDescent="0.45">
      <c r="B157" t="s">
        <v>1016</v>
      </c>
      <c r="C157" t="s">
        <v>526</v>
      </c>
      <c r="D157">
        <v>2050</v>
      </c>
      <c r="E157" s="2">
        <f t="shared" si="14"/>
        <v>145.07795329670333</v>
      </c>
      <c r="F157" t="s">
        <v>997</v>
      </c>
      <c r="G157" s="2">
        <f>E157*8760/1000</f>
        <v>1270.8828708791211</v>
      </c>
    </row>
    <row r="158" spans="2:7" x14ac:dyDescent="0.45">
      <c r="B158" t="s">
        <v>1017</v>
      </c>
      <c r="C158" t="s">
        <v>526</v>
      </c>
      <c r="D158">
        <v>2030</v>
      </c>
      <c r="E158" s="2">
        <f>F85*1000000/8736*$D$17</f>
        <v>88.424336080586087</v>
      </c>
      <c r="F158" t="s">
        <v>997</v>
      </c>
      <c r="G158" s="2">
        <f t="shared" si="0"/>
        <v>0.77459718406593414</v>
      </c>
    </row>
    <row r="159" spans="2:7" x14ac:dyDescent="0.45">
      <c r="B159" t="s">
        <v>1017</v>
      </c>
      <c r="C159" t="s">
        <v>526</v>
      </c>
      <c r="D159">
        <v>2040</v>
      </c>
      <c r="E159" s="2">
        <f t="shared" ref="E159:E160" si="15">F86*1000000/8736*$D$17</f>
        <v>96.526442307692321</v>
      </c>
      <c r="F159" t="s">
        <v>997</v>
      </c>
      <c r="G159" s="2">
        <f t="shared" si="0"/>
        <v>0.84557163461538476</v>
      </c>
    </row>
    <row r="160" spans="2:7" x14ac:dyDescent="0.45">
      <c r="B160" t="s">
        <v>1017</v>
      </c>
      <c r="C160" t="s">
        <v>526</v>
      </c>
      <c r="D160">
        <v>2050</v>
      </c>
      <c r="E160" s="2">
        <f t="shared" si="15"/>
        <v>101.7032967032967</v>
      </c>
      <c r="F160" t="s">
        <v>997</v>
      </c>
      <c r="G160" s="2">
        <f>E160*8760/1000</f>
        <v>890.92087912087914</v>
      </c>
    </row>
    <row r="161" spans="2:7" x14ac:dyDescent="0.45">
      <c r="B161" t="s">
        <v>1018</v>
      </c>
      <c r="C161" t="s">
        <v>526</v>
      </c>
      <c r="D161">
        <v>2030</v>
      </c>
      <c r="E161" s="2">
        <f>F85*1000000/8736*$D$20</f>
        <v>88.424336080586087</v>
      </c>
      <c r="F161" t="s">
        <v>997</v>
      </c>
      <c r="G161" s="2">
        <f t="shared" si="0"/>
        <v>0.77459718406593414</v>
      </c>
    </row>
    <row r="162" spans="2:7" x14ac:dyDescent="0.45">
      <c r="B162" t="s">
        <v>1018</v>
      </c>
      <c r="C162" t="s">
        <v>526</v>
      </c>
      <c r="D162">
        <v>2040</v>
      </c>
      <c r="E162" s="2">
        <f t="shared" ref="E162:E163" si="16">F86*1000000/8736*$D$20</f>
        <v>96.526442307692321</v>
      </c>
      <c r="F162" t="s">
        <v>997</v>
      </c>
      <c r="G162" s="2">
        <f t="shared" si="0"/>
        <v>0.84557163461538476</v>
      </c>
    </row>
    <row r="163" spans="2:7" x14ac:dyDescent="0.45">
      <c r="B163" t="s">
        <v>1018</v>
      </c>
      <c r="C163" t="s">
        <v>526</v>
      </c>
      <c r="D163">
        <v>2050</v>
      </c>
      <c r="E163" s="2">
        <f t="shared" si="16"/>
        <v>101.7032967032967</v>
      </c>
      <c r="F163" t="s">
        <v>997</v>
      </c>
      <c r="G163" s="2">
        <f>E163*8760/1000</f>
        <v>890.92087912087914</v>
      </c>
    </row>
    <row r="164" spans="2:7" x14ac:dyDescent="0.45">
      <c r="B164" t="s">
        <v>1019</v>
      </c>
      <c r="C164" t="s">
        <v>526</v>
      </c>
      <c r="D164">
        <v>2030</v>
      </c>
      <c r="E164" s="2">
        <f>E85*1000000/8736*$D$23</f>
        <v>124.82108516483514</v>
      </c>
      <c r="F164" t="s">
        <v>997</v>
      </c>
      <c r="G164" s="2">
        <f t="shared" ref="G164:G195" si="17">E164*8760/1000000</f>
        <v>1.0934327060439559</v>
      </c>
    </row>
    <row r="165" spans="2:7" x14ac:dyDescent="0.45">
      <c r="B165" t="s">
        <v>1019</v>
      </c>
      <c r="C165" t="s">
        <v>526</v>
      </c>
      <c r="D165">
        <v>2040</v>
      </c>
      <c r="E165" s="2">
        <f t="shared" ref="E165:E166" si="18">E86*1000000/8736*$D$23</f>
        <v>137.83138736263734</v>
      </c>
      <c r="F165" t="s">
        <v>997</v>
      </c>
      <c r="G165" s="2">
        <f t="shared" si="17"/>
        <v>1.207402953296703</v>
      </c>
    </row>
    <row r="166" spans="2:7" x14ac:dyDescent="0.45">
      <c r="B166" t="s">
        <v>1019</v>
      </c>
      <c r="C166" t="s">
        <v>526</v>
      </c>
      <c r="D166">
        <v>2050</v>
      </c>
      <c r="E166" s="2">
        <f t="shared" si="18"/>
        <v>145.07795329670333</v>
      </c>
      <c r="F166" t="s">
        <v>997</v>
      </c>
      <c r="G166" s="2">
        <f>E166*8760/1000</f>
        <v>1270.8828708791211</v>
      </c>
    </row>
    <row r="167" spans="2:7" x14ac:dyDescent="0.45">
      <c r="B167" t="s">
        <v>1020</v>
      </c>
      <c r="C167" t="s">
        <v>526</v>
      </c>
      <c r="D167">
        <v>2030</v>
      </c>
      <c r="E167" s="2">
        <f>E77*1000000/8736*$D$9</f>
        <v>720.79945054945051</v>
      </c>
      <c r="F167" t="s">
        <v>997</v>
      </c>
      <c r="G167" s="2">
        <f t="shared" si="17"/>
        <v>6.3142031868131872</v>
      </c>
    </row>
    <row r="168" spans="2:7" x14ac:dyDescent="0.45">
      <c r="B168" t="s">
        <v>1020</v>
      </c>
      <c r="C168" t="s">
        <v>526</v>
      </c>
      <c r="D168">
        <v>2040</v>
      </c>
      <c r="E168" s="2">
        <f>E78*1000000/8736*$D$9</f>
        <v>636.63598901098896</v>
      </c>
      <c r="F168" t="s">
        <v>997</v>
      </c>
      <c r="G168" s="2">
        <f t="shared" si="17"/>
        <v>5.5769312637362631</v>
      </c>
    </row>
    <row r="169" spans="2:7" x14ac:dyDescent="0.45">
      <c r="B169" t="s">
        <v>1020</v>
      </c>
      <c r="C169" t="s">
        <v>526</v>
      </c>
      <c r="D169">
        <v>2050</v>
      </c>
      <c r="E169" s="2">
        <f t="shared" ref="E169" si="19">E79*1000000/8736*$D$9</f>
        <v>225.36881868131866</v>
      </c>
      <c r="F169" t="s">
        <v>997</v>
      </c>
      <c r="G169" s="2">
        <f>E169*8760/1000</f>
        <v>1974.2308516483515</v>
      </c>
    </row>
    <row r="170" spans="2:7" x14ac:dyDescent="0.45">
      <c r="B170" t="s">
        <v>1021</v>
      </c>
      <c r="C170" t="s">
        <v>526</v>
      </c>
      <c r="D170">
        <v>2030</v>
      </c>
      <c r="E170" s="2">
        <f>E77*1000000/8736*$D$12</f>
        <v>240.2664835164835</v>
      </c>
      <c r="F170" t="s">
        <v>997</v>
      </c>
      <c r="G170" s="2">
        <f t="shared" si="17"/>
        <v>2.1047343956043951</v>
      </c>
    </row>
    <row r="171" spans="2:7" x14ac:dyDescent="0.45">
      <c r="B171" t="s">
        <v>1021</v>
      </c>
      <c r="C171" t="s">
        <v>526</v>
      </c>
      <c r="D171">
        <v>2040</v>
      </c>
      <c r="E171" s="2">
        <f t="shared" ref="E171" si="20">E78*1000000/8736*$D$12</f>
        <v>212.21199633699635</v>
      </c>
      <c r="F171" t="s">
        <v>997</v>
      </c>
      <c r="G171" s="2">
        <f t="shared" si="17"/>
        <v>1.8589770879120879</v>
      </c>
    </row>
    <row r="172" spans="2:7" x14ac:dyDescent="0.45">
      <c r="B172" t="s">
        <v>1021</v>
      </c>
      <c r="C172" t="s">
        <v>526</v>
      </c>
      <c r="D172">
        <v>2050</v>
      </c>
      <c r="E172" s="2">
        <f>E79*1000000/8736*$D$12</f>
        <v>75.122939560439562</v>
      </c>
      <c r="F172" t="s">
        <v>997</v>
      </c>
      <c r="G172" s="2">
        <f>E172*8760/1000</f>
        <v>658.07695054945054</v>
      </c>
    </row>
    <row r="173" spans="2:7" x14ac:dyDescent="0.45">
      <c r="B173" t="s">
        <v>1022</v>
      </c>
      <c r="C173" t="s">
        <v>526</v>
      </c>
      <c r="D173">
        <v>2030</v>
      </c>
      <c r="E173" s="2">
        <f>F77*1000000/8736*$D$15</f>
        <v>111.43143315018315</v>
      </c>
      <c r="F173" t="s">
        <v>997</v>
      </c>
      <c r="G173" s="2">
        <f t="shared" si="17"/>
        <v>0.97613935439560451</v>
      </c>
    </row>
    <row r="174" spans="2:7" x14ac:dyDescent="0.45">
      <c r="B174" t="s">
        <v>1022</v>
      </c>
      <c r="C174" t="s">
        <v>526</v>
      </c>
      <c r="D174">
        <v>2040</v>
      </c>
      <c r="E174" s="2">
        <f t="shared" ref="E174:E175" si="21">F78*1000000/8736*$D$15</f>
        <v>126.28434065934066</v>
      </c>
      <c r="F174" t="s">
        <v>997</v>
      </c>
      <c r="G174" s="2">
        <f t="shared" si="17"/>
        <v>1.1062508241758242</v>
      </c>
    </row>
    <row r="175" spans="2:7" x14ac:dyDescent="0.45">
      <c r="B175" t="s">
        <v>1022</v>
      </c>
      <c r="C175" t="s">
        <v>526</v>
      </c>
      <c r="D175">
        <v>2050</v>
      </c>
      <c r="E175" s="2">
        <f t="shared" si="21"/>
        <v>39.179258241758241</v>
      </c>
      <c r="F175" t="s">
        <v>997</v>
      </c>
      <c r="G175" s="2">
        <f>E175*8760/1000</f>
        <v>343.21030219780215</v>
      </c>
    </row>
    <row r="176" spans="2:7" x14ac:dyDescent="0.45">
      <c r="B176" t="s">
        <v>1023</v>
      </c>
      <c r="C176" t="s">
        <v>526</v>
      </c>
      <c r="D176">
        <v>2030</v>
      </c>
      <c r="E176" s="2">
        <f>F77*1000000/8736*$D$18</f>
        <v>111.43143315018315</v>
      </c>
      <c r="F176" t="s">
        <v>997</v>
      </c>
      <c r="G176" s="2">
        <f t="shared" si="17"/>
        <v>0.97613935439560451</v>
      </c>
    </row>
    <row r="177" spans="2:7" x14ac:dyDescent="0.45">
      <c r="B177" t="s">
        <v>1023</v>
      </c>
      <c r="C177" t="s">
        <v>526</v>
      </c>
      <c r="D177">
        <v>2040</v>
      </c>
      <c r="E177" s="2">
        <f t="shared" ref="E177:E178" si="22">F78*1000000/8736*$D$18</f>
        <v>126.28434065934066</v>
      </c>
      <c r="F177" t="s">
        <v>997</v>
      </c>
      <c r="G177" s="2">
        <f t="shared" si="17"/>
        <v>1.1062508241758242</v>
      </c>
    </row>
    <row r="178" spans="2:7" x14ac:dyDescent="0.45">
      <c r="B178" t="s">
        <v>1023</v>
      </c>
      <c r="C178" t="s">
        <v>526</v>
      </c>
      <c r="D178">
        <v>2050</v>
      </c>
      <c r="E178" s="2">
        <f t="shared" si="22"/>
        <v>39.179258241758241</v>
      </c>
      <c r="F178" t="s">
        <v>997</v>
      </c>
      <c r="G178" s="2">
        <f>E178*8760/1000</f>
        <v>343.21030219780215</v>
      </c>
    </row>
    <row r="179" spans="2:7" x14ac:dyDescent="0.45">
      <c r="B179" t="s">
        <v>1024</v>
      </c>
      <c r="C179" t="s">
        <v>526</v>
      </c>
      <c r="D179">
        <v>2030</v>
      </c>
      <c r="E179" s="2">
        <f>E77*1000000/8736*$D$21</f>
        <v>240.2664835164835</v>
      </c>
      <c r="F179" t="s">
        <v>997</v>
      </c>
      <c r="G179" s="2">
        <f t="shared" si="17"/>
        <v>2.1047343956043951</v>
      </c>
    </row>
    <row r="180" spans="2:7" x14ac:dyDescent="0.45">
      <c r="B180" t="s">
        <v>1024</v>
      </c>
      <c r="C180" t="s">
        <v>526</v>
      </c>
      <c r="D180">
        <v>2040</v>
      </c>
      <c r="E180" s="2">
        <f t="shared" ref="E180:E181" si="23">E78*1000000/8736*$D$21</f>
        <v>212.21199633699635</v>
      </c>
      <c r="F180" t="s">
        <v>997</v>
      </c>
      <c r="G180" s="2">
        <f t="shared" si="17"/>
        <v>1.8589770879120879</v>
      </c>
    </row>
    <row r="181" spans="2:7" x14ac:dyDescent="0.45">
      <c r="B181" t="s">
        <v>1024</v>
      </c>
      <c r="C181" t="s">
        <v>526</v>
      </c>
      <c r="D181">
        <v>2050</v>
      </c>
      <c r="E181" s="2">
        <f t="shared" si="23"/>
        <v>75.122939560439562</v>
      </c>
      <c r="F181" t="s">
        <v>997</v>
      </c>
      <c r="G181" s="2">
        <f>E181*8760/1000</f>
        <v>658.07695054945054</v>
      </c>
    </row>
    <row r="182" spans="2:7" x14ac:dyDescent="0.45">
      <c r="B182" t="s">
        <v>1025</v>
      </c>
      <c r="C182" t="s">
        <v>526</v>
      </c>
      <c r="D182">
        <v>2030</v>
      </c>
      <c r="E182" s="2">
        <f>(E81+E89)*1000000/8736*$D$10</f>
        <v>547.72344322344327</v>
      </c>
      <c r="F182" t="s">
        <v>997</v>
      </c>
      <c r="G182" s="2">
        <f t="shared" si="17"/>
        <v>4.7980573626373637</v>
      </c>
    </row>
    <row r="183" spans="2:7" x14ac:dyDescent="0.45">
      <c r="B183" t="s">
        <v>1025</v>
      </c>
      <c r="C183" t="s">
        <v>526</v>
      </c>
      <c r="D183">
        <v>2040</v>
      </c>
      <c r="E183" s="2">
        <f t="shared" ref="E183:E184" si="24">(E82+E90)*1000000/8736*$D$10</f>
        <v>44.63644688644689</v>
      </c>
      <c r="F183" t="s">
        <v>997</v>
      </c>
      <c r="G183" s="2">
        <f t="shared" si="17"/>
        <v>0.39101527472527475</v>
      </c>
    </row>
    <row r="184" spans="2:7" x14ac:dyDescent="0.45">
      <c r="B184" t="s">
        <v>1025</v>
      </c>
      <c r="C184" t="s">
        <v>526</v>
      </c>
      <c r="D184">
        <v>2050</v>
      </c>
      <c r="E184" s="2">
        <f t="shared" si="24"/>
        <v>5.8878205128205146</v>
      </c>
      <c r="F184" t="s">
        <v>997</v>
      </c>
      <c r="G184" s="2">
        <f>E184*8760/1000</f>
        <v>51.577307692307713</v>
      </c>
    </row>
    <row r="185" spans="2:7" x14ac:dyDescent="0.45">
      <c r="B185" t="s">
        <v>1026</v>
      </c>
      <c r="C185" t="s">
        <v>526</v>
      </c>
      <c r="D185">
        <v>2030</v>
      </c>
      <c r="E185" s="2">
        <f>(E81+E89)*1000000/8736*$D$13</f>
        <v>410.79258241758242</v>
      </c>
      <c r="F185" t="s">
        <v>997</v>
      </c>
      <c r="G185" s="2">
        <f t="shared" si="17"/>
        <v>3.5985430219780219</v>
      </c>
    </row>
    <row r="186" spans="2:7" x14ac:dyDescent="0.45">
      <c r="B186" t="s">
        <v>1026</v>
      </c>
      <c r="C186" t="s">
        <v>526</v>
      </c>
      <c r="D186">
        <v>2040</v>
      </c>
      <c r="E186" s="2">
        <f t="shared" ref="E186:E187" si="25">(E82+E90)*1000000/8736*$D$13</f>
        <v>33.477335164835168</v>
      </c>
      <c r="F186" t="s">
        <v>997</v>
      </c>
      <c r="G186" s="2">
        <f t="shared" si="17"/>
        <v>0.29326145604395604</v>
      </c>
    </row>
    <row r="187" spans="2:7" x14ac:dyDescent="0.45">
      <c r="B187" t="s">
        <v>1026</v>
      </c>
      <c r="C187" t="s">
        <v>526</v>
      </c>
      <c r="D187">
        <v>2050</v>
      </c>
      <c r="E187" s="2">
        <f t="shared" si="25"/>
        <v>4.415865384615385</v>
      </c>
      <c r="F187" t="s">
        <v>997</v>
      </c>
      <c r="G187" s="2">
        <f>E187*8760/1000</f>
        <v>38.682980769230774</v>
      </c>
    </row>
    <row r="188" spans="2:7" x14ac:dyDescent="0.45">
      <c r="B188" t="s">
        <v>1027</v>
      </c>
      <c r="C188" t="s">
        <v>526</v>
      </c>
      <c r="D188">
        <v>2030</v>
      </c>
      <c r="E188" s="2">
        <f>(F81+F89)*1000000/8736*$D$16</f>
        <v>201.77999084249083</v>
      </c>
      <c r="F188" t="s">
        <v>997</v>
      </c>
      <c r="G188" s="2">
        <f t="shared" si="17"/>
        <v>1.7675927197802197</v>
      </c>
    </row>
    <row r="189" spans="2:7" x14ac:dyDescent="0.45">
      <c r="B189" t="s">
        <v>1027</v>
      </c>
      <c r="C189" t="s">
        <v>526</v>
      </c>
      <c r="D189">
        <v>2040</v>
      </c>
      <c r="E189" s="2">
        <f t="shared" ref="E189:E190" si="26">(F82+F90)*1000000/8736*$D$16</f>
        <v>39.172390109890102</v>
      </c>
      <c r="F189" t="s">
        <v>997</v>
      </c>
      <c r="G189" s="2">
        <f t="shared" si="17"/>
        <v>0.34315013736263733</v>
      </c>
    </row>
    <row r="190" spans="2:7" x14ac:dyDescent="0.45">
      <c r="B190" t="s">
        <v>1027</v>
      </c>
      <c r="C190" t="s">
        <v>526</v>
      </c>
      <c r="D190">
        <v>2050</v>
      </c>
      <c r="E190" s="2">
        <f t="shared" si="26"/>
        <v>2.4736721611721606</v>
      </c>
      <c r="F190" t="s">
        <v>997</v>
      </c>
      <c r="G190" s="2">
        <f>E190*8760/1000</f>
        <v>21.669368131868126</v>
      </c>
    </row>
    <row r="191" spans="2:7" x14ac:dyDescent="0.45">
      <c r="B191" t="s">
        <v>1028</v>
      </c>
      <c r="C191" t="s">
        <v>526</v>
      </c>
      <c r="D191">
        <v>2030</v>
      </c>
      <c r="E191" s="2">
        <f>(F81+F89)*1000000/8736*$D$19</f>
        <v>201.77999084249083</v>
      </c>
      <c r="F191" t="s">
        <v>997</v>
      </c>
      <c r="G191" s="2">
        <f t="shared" si="17"/>
        <v>1.7675927197802197</v>
      </c>
    </row>
    <row r="192" spans="2:7" x14ac:dyDescent="0.45">
      <c r="B192" t="s">
        <v>1028</v>
      </c>
      <c r="C192" t="s">
        <v>526</v>
      </c>
      <c r="D192">
        <v>2040</v>
      </c>
      <c r="E192" s="2">
        <f t="shared" ref="E192:E193" si="27">(F82+F90)*1000000/8736*$D$19</f>
        <v>39.172390109890102</v>
      </c>
      <c r="F192" t="s">
        <v>997</v>
      </c>
      <c r="G192" s="2">
        <f t="shared" si="17"/>
        <v>0.34315013736263733</v>
      </c>
    </row>
    <row r="193" spans="2:18" x14ac:dyDescent="0.45">
      <c r="B193" t="s">
        <v>1028</v>
      </c>
      <c r="C193" t="s">
        <v>526</v>
      </c>
      <c r="D193">
        <v>2050</v>
      </c>
      <c r="E193" s="2">
        <f t="shared" si="27"/>
        <v>2.4736721611721606</v>
      </c>
      <c r="F193" t="s">
        <v>997</v>
      </c>
      <c r="G193" s="2">
        <f>E193*8760/1000</f>
        <v>21.669368131868126</v>
      </c>
    </row>
    <row r="194" spans="2:18" x14ac:dyDescent="0.45">
      <c r="B194" t="s">
        <v>1029</v>
      </c>
      <c r="C194" t="s">
        <v>526</v>
      </c>
      <c r="D194">
        <v>2030</v>
      </c>
      <c r="E194" s="2">
        <f>(E81+E89)*1000000/8736*$D$22</f>
        <v>410.79258241758242</v>
      </c>
      <c r="F194" t="s">
        <v>997</v>
      </c>
      <c r="G194" s="2">
        <f t="shared" si="17"/>
        <v>3.5985430219780219</v>
      </c>
    </row>
    <row r="195" spans="2:18" x14ac:dyDescent="0.45">
      <c r="B195" t="s">
        <v>1029</v>
      </c>
      <c r="C195" t="s">
        <v>526</v>
      </c>
      <c r="D195">
        <v>2040</v>
      </c>
      <c r="E195" s="2">
        <f t="shared" ref="E195:E196" si="28">(E82+E90)*1000000/8736*$D$22</f>
        <v>33.477335164835168</v>
      </c>
      <c r="F195" t="s">
        <v>997</v>
      </c>
      <c r="G195" s="2">
        <f t="shared" si="17"/>
        <v>0.29326145604395604</v>
      </c>
    </row>
    <row r="196" spans="2:18" x14ac:dyDescent="0.45">
      <c r="B196" t="s">
        <v>1029</v>
      </c>
      <c r="C196" t="s">
        <v>526</v>
      </c>
      <c r="D196">
        <v>2050</v>
      </c>
      <c r="E196" s="2">
        <f t="shared" si="28"/>
        <v>4.415865384615385</v>
      </c>
      <c r="F196" t="s">
        <v>997</v>
      </c>
      <c r="G196" s="2">
        <f>E196*8760/1000</f>
        <v>38.682980769230774</v>
      </c>
    </row>
    <row r="200" spans="2:18" s="37" customFormat="1" x14ac:dyDescent="0.45">
      <c r="B200" s="37" t="s">
        <v>1168</v>
      </c>
    </row>
    <row r="203" spans="2:18" x14ac:dyDescent="0.45">
      <c r="B203" t="s">
        <v>1169</v>
      </c>
    </row>
    <row r="204" spans="2:18" x14ac:dyDescent="0.45">
      <c r="B204" t="s">
        <v>1170</v>
      </c>
    </row>
    <row r="205" spans="2:18" x14ac:dyDescent="0.45">
      <c r="B205" t="s">
        <v>1171</v>
      </c>
    </row>
    <row r="207" spans="2:18" x14ac:dyDescent="0.45">
      <c r="B207" s="144" t="s">
        <v>1176</v>
      </c>
      <c r="C207" s="120"/>
      <c r="D207" s="120"/>
      <c r="E207" s="120"/>
      <c r="F207" s="120"/>
      <c r="G207" s="120"/>
      <c r="H207" s="120"/>
      <c r="K207" s="144" t="s">
        <v>1177</v>
      </c>
      <c r="L207" s="120"/>
      <c r="M207" s="120"/>
      <c r="N207" s="120"/>
      <c r="O207" s="120"/>
      <c r="P207" s="120"/>
      <c r="Q207" s="120"/>
      <c r="R207" s="120"/>
    </row>
    <row r="209" spans="2:24" x14ac:dyDescent="0.45">
      <c r="B209" t="s">
        <v>996</v>
      </c>
      <c r="C209" t="str">
        <f>_xlfn.TEXTJOIN("_",TRUE,B209,E209)</f>
        <v>DK2_Shipping_2030</v>
      </c>
      <c r="D209" t="s">
        <v>526</v>
      </c>
      <c r="E209">
        <v>2030</v>
      </c>
      <c r="F209" s="2">
        <v>240.6501831501831</v>
      </c>
      <c r="G209" t="s">
        <v>997</v>
      </c>
      <c r="H209" t="s">
        <v>1172</v>
      </c>
    </row>
    <row r="210" spans="2:24" x14ac:dyDescent="0.45">
      <c r="B210" t="s">
        <v>996</v>
      </c>
      <c r="C210" t="str">
        <f t="shared" ref="C210:C273" si="29">_xlfn.TEXTJOIN("_",TRUE,B210,E210)</f>
        <v>DK2_Shipping_2040</v>
      </c>
      <c r="D210" t="s">
        <v>526</v>
      </c>
      <c r="E210">
        <v>2040</v>
      </c>
      <c r="F210" s="2">
        <v>262.20924908424911</v>
      </c>
      <c r="G210" t="s">
        <v>997</v>
      </c>
      <c r="H210" t="s">
        <v>1172</v>
      </c>
      <c r="N210" t="s">
        <v>1265</v>
      </c>
      <c r="O210" t="s">
        <v>1268</v>
      </c>
      <c r="P210" t="s">
        <v>1264</v>
      </c>
      <c r="Q210" t="s">
        <v>1267</v>
      </c>
    </row>
    <row r="211" spans="2:24" x14ac:dyDescent="0.45">
      <c r="B211" t="s">
        <v>996</v>
      </c>
      <c r="C211" t="str">
        <f t="shared" si="29"/>
        <v>DK2_Shipping_2050</v>
      </c>
      <c r="D211" t="s">
        <v>526</v>
      </c>
      <c r="E211">
        <v>2050</v>
      </c>
      <c r="F211" s="2">
        <v>278.74084249084251</v>
      </c>
      <c r="G211" t="s">
        <v>997</v>
      </c>
      <c r="H211" t="s">
        <v>1172</v>
      </c>
      <c r="K211" t="s">
        <v>1178</v>
      </c>
      <c r="N211" t="s">
        <v>1266</v>
      </c>
      <c r="O211" t="s">
        <v>15</v>
      </c>
      <c r="P211" t="s">
        <v>15</v>
      </c>
      <c r="Q211" t="s">
        <v>15</v>
      </c>
    </row>
    <row r="212" spans="2:24" x14ac:dyDescent="0.45">
      <c r="B212" t="s">
        <v>998</v>
      </c>
      <c r="C212" t="str">
        <f t="shared" si="29"/>
        <v>DK1_Shipping_2030</v>
      </c>
      <c r="D212" t="s">
        <v>526</v>
      </c>
      <c r="E212">
        <v>2030</v>
      </c>
      <c r="F212" s="2">
        <v>492.92696886446885</v>
      </c>
      <c r="G212" t="s">
        <v>997</v>
      </c>
      <c r="H212" t="s">
        <v>1172</v>
      </c>
      <c r="K212" t="s">
        <v>1179</v>
      </c>
      <c r="V212" t="s">
        <v>997</v>
      </c>
      <c r="W212" t="s">
        <v>1266</v>
      </c>
      <c r="X212" t="s">
        <v>997</v>
      </c>
    </row>
    <row r="213" spans="2:24" x14ac:dyDescent="0.45">
      <c r="B213" t="s">
        <v>998</v>
      </c>
      <c r="C213" t="str">
        <f t="shared" si="29"/>
        <v>DK1_Shipping_2040</v>
      </c>
      <c r="D213" t="s">
        <v>526</v>
      </c>
      <c r="E213">
        <v>2040</v>
      </c>
      <c r="F213" s="2">
        <v>541.65064102564099</v>
      </c>
      <c r="G213" t="s">
        <v>997</v>
      </c>
      <c r="H213" t="s">
        <v>1172</v>
      </c>
      <c r="K213" t="s">
        <v>1180</v>
      </c>
      <c r="R213" t="s">
        <v>8</v>
      </c>
      <c r="S213" t="s">
        <v>1270</v>
      </c>
      <c r="T213" t="s">
        <v>1042</v>
      </c>
      <c r="U213" t="s">
        <v>5</v>
      </c>
      <c r="V213" t="s">
        <v>1272</v>
      </c>
      <c r="W213" t="s">
        <v>1269</v>
      </c>
      <c r="X213" t="s">
        <v>1271</v>
      </c>
    </row>
    <row r="214" spans="2:24" x14ac:dyDescent="0.45">
      <c r="B214" t="s">
        <v>998</v>
      </c>
      <c r="C214" t="str">
        <f t="shared" si="29"/>
        <v>DK1_Shipping_2050</v>
      </c>
      <c r="D214" t="s">
        <v>526</v>
      </c>
      <c r="E214">
        <v>2050</v>
      </c>
      <c r="F214" s="2">
        <v>572.53319597069606</v>
      </c>
      <c r="G214" t="s">
        <v>997</v>
      </c>
      <c r="H214" t="s">
        <v>1172</v>
      </c>
      <c r="K214" t="s">
        <v>1209</v>
      </c>
      <c r="L214">
        <v>65360</v>
      </c>
      <c r="M214" s="145"/>
      <c r="N214">
        <f>IF(ISNUMBER(M214),M214*L214,L214)</f>
        <v>65360</v>
      </c>
      <c r="O214">
        <v>1</v>
      </c>
      <c r="P214">
        <v>0.79</v>
      </c>
      <c r="Q214">
        <v>0.36</v>
      </c>
      <c r="R214" t="str">
        <f>MID(K214,13,3)</f>
        <v>DK1</v>
      </c>
      <c r="S214" t="str">
        <f>IF(ISTEXT(R214),_xlfn.TEXTJOIN("_",TRUE,R214,"Jetfuel"),"")</f>
        <v>DK1_Jetfuel</v>
      </c>
      <c r="T214" t="s">
        <v>526</v>
      </c>
      <c r="U214">
        <f>_xlfn.NUMBERVALUE(MID(K214,5,4))</f>
        <v>2040</v>
      </c>
      <c r="V214" s="2">
        <f>W214/8736+X214</f>
        <v>255.71988196988198</v>
      </c>
      <c r="W214" s="2">
        <f>N214*$O$214*$P$214/$Q$214</f>
        <v>143428.88888888891</v>
      </c>
      <c r="X214" s="2">
        <f>VLOOKUP(_xlfn.TEXTJOIN("_",TRUE,S214,U214),$C$209:$F$307,4,FALSE)</f>
        <v>239.30173992673994</v>
      </c>
    </row>
    <row r="215" spans="2:24" x14ac:dyDescent="0.45">
      <c r="B215" t="s">
        <v>999</v>
      </c>
      <c r="C215" t="str">
        <f t="shared" si="29"/>
        <v>DK2_Jetfuel_2030</v>
      </c>
      <c r="D215" t="s">
        <v>526</v>
      </c>
      <c r="E215">
        <v>2030</v>
      </c>
      <c r="F215" s="2">
        <v>1492.4885531135531</v>
      </c>
      <c r="G215" t="s">
        <v>997</v>
      </c>
      <c r="H215" t="s">
        <v>1172</v>
      </c>
      <c r="K215" t="s">
        <v>1210</v>
      </c>
      <c r="L215">
        <v>299020</v>
      </c>
      <c r="M215" s="145"/>
      <c r="N215">
        <f t="shared" ref="N215:N278" si="30">IF(ISNUMBER(M215),M215*L215,L215)</f>
        <v>299020</v>
      </c>
      <c r="R215" t="str">
        <f t="shared" ref="R215:R278" si="31">MID(K215,13,3)</f>
        <v>DK1</v>
      </c>
      <c r="S215" t="str">
        <f t="shared" ref="S215:S218" si="32">IF(ISTEXT(R215),_xlfn.TEXTJOIN("_",TRUE,R215,"Jetfuel"),"")</f>
        <v>DK1_Jetfuel</v>
      </c>
      <c r="T215" t="s">
        <v>526</v>
      </c>
      <c r="U215">
        <f t="shared" ref="U215:U278" si="33">_xlfn.NUMBERVALUE(MID(K215,5,4))</f>
        <v>2050</v>
      </c>
      <c r="V215" s="2">
        <f>W215/8736+X215</f>
        <v>252.96277218152218</v>
      </c>
      <c r="W215" s="2">
        <f>N215*$O$214*$P$214/$Q$214</f>
        <v>656182.77777777787</v>
      </c>
      <c r="X215" s="2">
        <f>VLOOKUP(_xlfn.TEXTJOIN("_",TRUE,S215,U215),$C$209:$F$307,4,FALSE)</f>
        <v>177.85027472527472</v>
      </c>
    </row>
    <row r="216" spans="2:24" x14ac:dyDescent="0.45">
      <c r="B216" t="s">
        <v>999</v>
      </c>
      <c r="C216" t="str">
        <f t="shared" si="29"/>
        <v>DK2_Jetfuel_2040</v>
      </c>
      <c r="D216" t="s">
        <v>526</v>
      </c>
      <c r="E216">
        <v>2040</v>
      </c>
      <c r="F216" s="2">
        <v>1559.5009157509157</v>
      </c>
      <c r="G216" t="s">
        <v>997</v>
      </c>
      <c r="H216" t="s">
        <v>1172</v>
      </c>
      <c r="K216" t="s">
        <v>1181</v>
      </c>
      <c r="M216" s="145"/>
      <c r="N216">
        <f t="shared" si="30"/>
        <v>0</v>
      </c>
      <c r="S216" t="str">
        <f t="shared" si="32"/>
        <v/>
      </c>
      <c r="V216" s="2"/>
      <c r="W216" s="2"/>
      <c r="X216" s="2"/>
    </row>
    <row r="217" spans="2:24" x14ac:dyDescent="0.45">
      <c r="B217" t="s">
        <v>999</v>
      </c>
      <c r="C217" t="str">
        <f t="shared" si="29"/>
        <v>DK2_Jetfuel_2050</v>
      </c>
      <c r="D217" t="s">
        <v>526</v>
      </c>
      <c r="E217">
        <v>2050</v>
      </c>
      <c r="F217" s="2">
        <v>1176.386217948718</v>
      </c>
      <c r="G217" t="s">
        <v>997</v>
      </c>
      <c r="H217" t="s">
        <v>1172</v>
      </c>
      <c r="K217" t="s">
        <v>1182</v>
      </c>
      <c r="M217" s="145"/>
      <c r="N217">
        <f t="shared" si="30"/>
        <v>0</v>
      </c>
      <c r="S217" t="str">
        <f t="shared" si="32"/>
        <v/>
      </c>
      <c r="V217" s="2"/>
      <c r="W217" s="2"/>
      <c r="X217" s="2"/>
    </row>
    <row r="218" spans="2:24" x14ac:dyDescent="0.45">
      <c r="B218" t="s">
        <v>1000</v>
      </c>
      <c r="C218" t="str">
        <f t="shared" si="29"/>
        <v>DK1_Jetfuel_2030</v>
      </c>
      <c r="D218" t="s">
        <v>526</v>
      </c>
      <c r="E218">
        <v>2030</v>
      </c>
      <c r="F218" s="2">
        <v>239.00641025641022</v>
      </c>
      <c r="G218" t="s">
        <v>997</v>
      </c>
      <c r="H218" t="s">
        <v>1172</v>
      </c>
      <c r="K218" t="s">
        <v>1211</v>
      </c>
      <c r="L218">
        <v>212420</v>
      </c>
      <c r="M218" s="145"/>
      <c r="N218">
        <f t="shared" si="30"/>
        <v>212420</v>
      </c>
      <c r="R218" t="str">
        <f t="shared" si="31"/>
        <v>DK2</v>
      </c>
      <c r="S218" t="str">
        <f t="shared" si="32"/>
        <v>DK2_Jetfuel</v>
      </c>
      <c r="T218" t="s">
        <v>526</v>
      </c>
      <c r="U218">
        <f t="shared" si="33"/>
        <v>2040</v>
      </c>
      <c r="V218" s="2">
        <f>W218/8736+X218</f>
        <v>1612.8598773911274</v>
      </c>
      <c r="W218" s="2">
        <f>N218*$O$214*$P$214/$Q$214</f>
        <v>466143.88888888893</v>
      </c>
      <c r="X218" s="2">
        <f>VLOOKUP(_xlfn.TEXTJOIN("_",TRUE,S218,U218),$C$209:$F$307,4,FALSE)</f>
        <v>1559.5009157509157</v>
      </c>
    </row>
    <row r="219" spans="2:24" x14ac:dyDescent="0.45">
      <c r="B219" t="s">
        <v>1000</v>
      </c>
      <c r="C219" t="str">
        <f t="shared" si="29"/>
        <v>DK1_Jetfuel_2040</v>
      </c>
      <c r="D219" t="s">
        <v>526</v>
      </c>
      <c r="E219">
        <v>2040</v>
      </c>
      <c r="F219" s="2">
        <v>239.30173992673994</v>
      </c>
      <c r="G219" t="s">
        <v>997</v>
      </c>
      <c r="H219" t="s">
        <v>1172</v>
      </c>
      <c r="K219" t="s">
        <v>1212</v>
      </c>
      <c r="L219">
        <v>1672870</v>
      </c>
      <c r="M219" s="145"/>
      <c r="N219">
        <f t="shared" si="30"/>
        <v>1672870</v>
      </c>
      <c r="R219" t="str">
        <f t="shared" si="31"/>
        <v>DK2</v>
      </c>
      <c r="S219" t="str">
        <f t="shared" ref="S219:S256" si="34">_xlfn.TEXTJOIN("_",TRUE,R219,"Jetfuel")</f>
        <v>DK2_Jetfuel</v>
      </c>
      <c r="T219" t="s">
        <v>526</v>
      </c>
      <c r="U219">
        <f t="shared" si="33"/>
        <v>2050</v>
      </c>
      <c r="V219" s="2">
        <f>W219/8736+X219</f>
        <v>1596.6037405881157</v>
      </c>
      <c r="W219" s="2">
        <f>N219*$O$214*$P$214/$Q$214</f>
        <v>3671020.277777778</v>
      </c>
      <c r="X219" s="2">
        <f>VLOOKUP(_xlfn.TEXTJOIN("_",TRUE,S219,U219),$C$209:$F$307,4,FALSE)</f>
        <v>1176.386217948718</v>
      </c>
    </row>
    <row r="220" spans="2:24" x14ac:dyDescent="0.45">
      <c r="B220" t="s">
        <v>1000</v>
      </c>
      <c r="C220" t="str">
        <f t="shared" si="29"/>
        <v>DK1_Jetfuel_2050</v>
      </c>
      <c r="D220" t="s">
        <v>526</v>
      </c>
      <c r="E220">
        <v>2050</v>
      </c>
      <c r="F220" s="2">
        <v>177.85027472527472</v>
      </c>
      <c r="G220" t="s">
        <v>997</v>
      </c>
      <c r="H220" t="s">
        <v>1172</v>
      </c>
      <c r="K220" t="s">
        <v>1183</v>
      </c>
      <c r="M220" s="145"/>
      <c r="N220">
        <f t="shared" si="30"/>
        <v>0</v>
      </c>
      <c r="R220" t="str">
        <f>MID(K220,13,3)</f>
        <v xml:space="preserve">  </v>
      </c>
      <c r="V220" s="2"/>
      <c r="W220" s="2"/>
      <c r="X220" s="2"/>
    </row>
    <row r="221" spans="2:24" x14ac:dyDescent="0.45">
      <c r="B221" t="s">
        <v>1001</v>
      </c>
      <c r="C221" t="str">
        <f t="shared" si="29"/>
        <v>DK2_Road_2030</v>
      </c>
      <c r="D221" t="s">
        <v>526</v>
      </c>
      <c r="E221">
        <v>2030</v>
      </c>
      <c r="F221" s="2">
        <v>958.80494505494505</v>
      </c>
      <c r="G221" t="s">
        <v>997</v>
      </c>
      <c r="H221" t="s">
        <v>1172</v>
      </c>
      <c r="M221" s="145"/>
      <c r="N221">
        <f t="shared" si="30"/>
        <v>0</v>
      </c>
      <c r="R221" t="str">
        <f t="shared" si="31"/>
        <v/>
      </c>
      <c r="V221" s="2"/>
      <c r="W221" s="2"/>
      <c r="X221" s="2"/>
    </row>
    <row r="222" spans="2:24" x14ac:dyDescent="0.45">
      <c r="B222" t="s">
        <v>1001</v>
      </c>
      <c r="C222" t="str">
        <f t="shared" si="29"/>
        <v>DK2_Road_2040</v>
      </c>
      <c r="D222" t="s">
        <v>526</v>
      </c>
      <c r="E222">
        <v>2040</v>
      </c>
      <c r="F222" s="2">
        <v>87.798763736263737</v>
      </c>
      <c r="G222" t="s">
        <v>997</v>
      </c>
      <c r="H222" t="s">
        <v>1172</v>
      </c>
      <c r="K222" t="s">
        <v>1184</v>
      </c>
      <c r="M222" s="145"/>
      <c r="N222">
        <f t="shared" si="30"/>
        <v>0</v>
      </c>
      <c r="R222" t="str">
        <f t="shared" si="31"/>
        <v xml:space="preserve">   </v>
      </c>
      <c r="V222" s="2"/>
      <c r="W222" s="2"/>
      <c r="X222" s="2"/>
    </row>
    <row r="223" spans="2:24" x14ac:dyDescent="0.45">
      <c r="B223" t="s">
        <v>1001</v>
      </c>
      <c r="C223" t="str">
        <f t="shared" si="29"/>
        <v>DK2_Road_2050</v>
      </c>
      <c r="D223" t="s">
        <v>526</v>
      </c>
      <c r="E223">
        <v>2050</v>
      </c>
      <c r="F223" s="2">
        <v>4.0602106227106223</v>
      </c>
      <c r="G223" t="s">
        <v>997</v>
      </c>
      <c r="H223" t="s">
        <v>1172</v>
      </c>
      <c r="K223" t="s">
        <v>1213</v>
      </c>
      <c r="L223">
        <v>833330</v>
      </c>
      <c r="M223" s="145">
        <v>0.4</v>
      </c>
      <c r="N223">
        <f t="shared" si="30"/>
        <v>333332</v>
      </c>
      <c r="R223" t="str">
        <f t="shared" si="31"/>
        <v>NO1</v>
      </c>
      <c r="S223" t="str">
        <f t="shared" si="34"/>
        <v>NO1_Jetfuel</v>
      </c>
      <c r="T223" t="s">
        <v>526</v>
      </c>
      <c r="U223">
        <f t="shared" si="33"/>
        <v>2040</v>
      </c>
      <c r="V223" s="2">
        <f t="shared" ref="V223:V254" si="35">W223/8736+X223</f>
        <v>720.36750864875864</v>
      </c>
      <c r="W223" s="2">
        <f>N223*$O$214*$P$214/$Q$214</f>
        <v>731478.55555555562</v>
      </c>
      <c r="X223" s="2">
        <f>VLOOKUP(_xlfn.TEXTJOIN("_",TRUE,S223,U223),$C$209:$F$307,4,FALSE)</f>
        <v>636.63598901098896</v>
      </c>
    </row>
    <row r="224" spans="2:24" x14ac:dyDescent="0.45">
      <c r="B224" t="s">
        <v>1002</v>
      </c>
      <c r="C224" t="str">
        <f t="shared" si="29"/>
        <v>DK1_Road_2030</v>
      </c>
      <c r="D224" t="s">
        <v>526</v>
      </c>
      <c r="E224">
        <v>2030</v>
      </c>
      <c r="F224" s="2">
        <v>1452.2596153846155</v>
      </c>
      <c r="G224" t="s">
        <v>997</v>
      </c>
      <c r="H224" t="s">
        <v>1172</v>
      </c>
      <c r="K224" t="s">
        <v>1214</v>
      </c>
      <c r="L224">
        <v>3302320</v>
      </c>
      <c r="M224" s="145">
        <v>0.4</v>
      </c>
      <c r="N224">
        <f t="shared" si="30"/>
        <v>1320928</v>
      </c>
      <c r="R224" t="str">
        <f t="shared" si="31"/>
        <v>NO1</v>
      </c>
      <c r="S224" t="str">
        <f t="shared" si="34"/>
        <v>NO1_Jetfuel</v>
      </c>
      <c r="T224" t="s">
        <v>526</v>
      </c>
      <c r="U224">
        <f t="shared" si="33"/>
        <v>2050</v>
      </c>
      <c r="V224" s="2">
        <f t="shared" si="35"/>
        <v>557.18007224257212</v>
      </c>
      <c r="W224" s="2">
        <f>N224*$O$214*$P$214/$Q$214</f>
        <v>2898703.111111111</v>
      </c>
      <c r="X224" s="2">
        <f>VLOOKUP(_xlfn.TEXTJOIN("_",TRUE,S224,U224),$C$209:$F$307,4,FALSE)</f>
        <v>225.36881868131866</v>
      </c>
    </row>
    <row r="225" spans="2:24" x14ac:dyDescent="0.45">
      <c r="B225" t="s">
        <v>1002</v>
      </c>
      <c r="C225" t="str">
        <f t="shared" si="29"/>
        <v>DK1_Road_2040</v>
      </c>
      <c r="D225" t="s">
        <v>526</v>
      </c>
      <c r="E225">
        <v>2040</v>
      </c>
      <c r="F225" s="2">
        <v>131.34386446886447</v>
      </c>
      <c r="G225" t="s">
        <v>997</v>
      </c>
      <c r="H225" t="s">
        <v>1172</v>
      </c>
      <c r="K225" t="s">
        <v>1185</v>
      </c>
      <c r="N225">
        <f t="shared" si="30"/>
        <v>0</v>
      </c>
      <c r="R225" t="str">
        <f t="shared" si="31"/>
        <v xml:space="preserve"> </v>
      </c>
      <c r="V225" s="2">
        <f t="shared" si="35"/>
        <v>0</v>
      </c>
      <c r="W225" s="2"/>
      <c r="X225" s="2"/>
    </row>
    <row r="226" spans="2:24" x14ac:dyDescent="0.45">
      <c r="B226" t="s">
        <v>1002</v>
      </c>
      <c r="C226" t="str">
        <f t="shared" si="29"/>
        <v>DK1_Road_2050</v>
      </c>
      <c r="D226" t="s">
        <v>526</v>
      </c>
      <c r="E226">
        <v>2050</v>
      </c>
      <c r="F226" s="2">
        <v>5.2266483516483513</v>
      </c>
      <c r="G226" t="s">
        <v>997</v>
      </c>
      <c r="H226" t="s">
        <v>1172</v>
      </c>
      <c r="K226" t="s">
        <v>1186</v>
      </c>
      <c r="N226">
        <f t="shared" si="30"/>
        <v>0</v>
      </c>
      <c r="R226" t="str">
        <f t="shared" si="31"/>
        <v xml:space="preserve">   </v>
      </c>
      <c r="V226" s="2">
        <f t="shared" si="35"/>
        <v>0</v>
      </c>
      <c r="W226" s="2"/>
      <c r="X226" s="2"/>
    </row>
    <row r="227" spans="2:24" x14ac:dyDescent="0.45">
      <c r="B227" t="s">
        <v>1003</v>
      </c>
      <c r="C227" t="str">
        <f t="shared" si="29"/>
        <v>SE1_Jetfuel_2030</v>
      </c>
      <c r="D227" t="s">
        <v>526</v>
      </c>
      <c r="E227">
        <v>2030</v>
      </c>
      <c r="F227" s="2">
        <v>30.967261904761905</v>
      </c>
      <c r="G227" t="s">
        <v>997</v>
      </c>
      <c r="H227" t="s">
        <v>1172</v>
      </c>
      <c r="K227" t="s">
        <v>1215</v>
      </c>
      <c r="L227">
        <v>833330</v>
      </c>
      <c r="M227">
        <v>0.3</v>
      </c>
      <c r="N227">
        <f t="shared" si="30"/>
        <v>249999</v>
      </c>
      <c r="R227" t="str">
        <f t="shared" si="31"/>
        <v>NO2</v>
      </c>
      <c r="S227" t="str">
        <f t="shared" si="34"/>
        <v>NO2_Jetfuel</v>
      </c>
      <c r="T227" t="s">
        <v>526</v>
      </c>
      <c r="U227">
        <f t="shared" si="33"/>
        <v>2040</v>
      </c>
      <c r="V227" s="2">
        <f t="shared" si="35"/>
        <v>275.01063606532358</v>
      </c>
      <c r="W227" s="2">
        <f>N227*$O$214*$P$214/$Q$214</f>
        <v>548608.91666666674</v>
      </c>
      <c r="X227" s="2">
        <f>VLOOKUP(_xlfn.TEXTJOIN("_",TRUE,S227,U227),$C$209:$F$307,4,FALSE)</f>
        <v>212.21199633699635</v>
      </c>
    </row>
    <row r="228" spans="2:24" x14ac:dyDescent="0.45">
      <c r="B228" t="s">
        <v>1003</v>
      </c>
      <c r="C228" t="str">
        <f t="shared" si="29"/>
        <v>SE1_Jetfuel_2040</v>
      </c>
      <c r="D228" t="s">
        <v>526</v>
      </c>
      <c r="E228">
        <v>2040</v>
      </c>
      <c r="F228" s="2">
        <v>22.35576923076923</v>
      </c>
      <c r="G228" t="s">
        <v>997</v>
      </c>
      <c r="H228" t="s">
        <v>1172</v>
      </c>
      <c r="K228" t="s">
        <v>1216</v>
      </c>
      <c r="L228">
        <v>3302320</v>
      </c>
      <c r="M228">
        <v>0.3</v>
      </c>
      <c r="N228">
        <f t="shared" si="30"/>
        <v>990696</v>
      </c>
      <c r="R228" t="str">
        <f t="shared" si="31"/>
        <v>NO2</v>
      </c>
      <c r="S228" t="str">
        <f t="shared" si="34"/>
        <v>NO2_Jetfuel</v>
      </c>
      <c r="T228" t="s">
        <v>526</v>
      </c>
      <c r="U228">
        <f t="shared" si="33"/>
        <v>2050</v>
      </c>
      <c r="V228" s="2">
        <f t="shared" si="35"/>
        <v>323.98137973137977</v>
      </c>
      <c r="W228" s="2">
        <f>N228*$O$214*$P$214/$Q$214</f>
        <v>2174027.3333333335</v>
      </c>
      <c r="X228" s="2">
        <f>VLOOKUP(_xlfn.TEXTJOIN("_",TRUE,S228,U228),$C$209:$F$307,4,FALSE)</f>
        <v>75.122939560439562</v>
      </c>
    </row>
    <row r="229" spans="2:24" x14ac:dyDescent="0.45">
      <c r="B229" t="s">
        <v>1003</v>
      </c>
      <c r="C229" t="str">
        <f t="shared" si="29"/>
        <v>SE1_Jetfuel_2050</v>
      </c>
      <c r="D229" t="s">
        <v>526</v>
      </c>
      <c r="E229">
        <v>2050</v>
      </c>
      <c r="F229" s="2">
        <v>6.8292124542124544</v>
      </c>
      <c r="G229" t="s">
        <v>997</v>
      </c>
      <c r="H229" t="s">
        <v>1172</v>
      </c>
      <c r="K229" t="s">
        <v>1185</v>
      </c>
      <c r="N229">
        <f t="shared" si="30"/>
        <v>0</v>
      </c>
      <c r="R229" t="str">
        <f t="shared" si="31"/>
        <v xml:space="preserve"> </v>
      </c>
      <c r="V229" s="2">
        <f t="shared" si="35"/>
        <v>0</v>
      </c>
      <c r="W229" s="2"/>
      <c r="X229" s="2"/>
    </row>
    <row r="230" spans="2:24" x14ac:dyDescent="0.45">
      <c r="B230" t="s">
        <v>1004</v>
      </c>
      <c r="C230" t="str">
        <f t="shared" si="29"/>
        <v>SE2_Jetfuel_2030</v>
      </c>
      <c r="D230" t="s">
        <v>526</v>
      </c>
      <c r="E230">
        <v>2030</v>
      </c>
      <c r="F230" s="2">
        <v>46.491529304029307</v>
      </c>
      <c r="G230" t="s">
        <v>997</v>
      </c>
      <c r="H230" t="s">
        <v>1172</v>
      </c>
      <c r="K230" t="s">
        <v>1187</v>
      </c>
      <c r="N230">
        <f t="shared" si="30"/>
        <v>0</v>
      </c>
      <c r="R230" t="str">
        <f t="shared" si="31"/>
        <v xml:space="preserve">   </v>
      </c>
      <c r="V230" s="2">
        <f t="shared" si="35"/>
        <v>0</v>
      </c>
      <c r="W230" s="2"/>
      <c r="X230" s="2"/>
    </row>
    <row r="231" spans="2:24" x14ac:dyDescent="0.45">
      <c r="B231" t="s">
        <v>1004</v>
      </c>
      <c r="C231" t="str">
        <f t="shared" si="29"/>
        <v>SE2_Jetfuel_2040</v>
      </c>
      <c r="D231" t="s">
        <v>526</v>
      </c>
      <c r="E231">
        <v>2040</v>
      </c>
      <c r="F231" s="2">
        <v>35.013736263736263</v>
      </c>
      <c r="G231" t="s">
        <v>997</v>
      </c>
      <c r="H231" t="s">
        <v>1172</v>
      </c>
      <c r="K231" t="s">
        <v>1217</v>
      </c>
      <c r="L231">
        <v>0</v>
      </c>
      <c r="N231">
        <f t="shared" si="30"/>
        <v>0</v>
      </c>
      <c r="R231" t="str">
        <f t="shared" si="31"/>
        <v>NO3</v>
      </c>
      <c r="S231" t="str">
        <f t="shared" si="34"/>
        <v>NO3_Jetfuel</v>
      </c>
      <c r="T231" t="s">
        <v>526</v>
      </c>
      <c r="U231">
        <f t="shared" si="33"/>
        <v>2040</v>
      </c>
      <c r="V231" s="2">
        <f t="shared" si="35"/>
        <v>126.28434065934066</v>
      </c>
      <c r="W231" s="2"/>
      <c r="X231" s="2">
        <f>VLOOKUP(_xlfn.TEXTJOIN("_",TRUE,S231,U231),$C$209:$F$307,4,FALSE)</f>
        <v>126.28434065934066</v>
      </c>
    </row>
    <row r="232" spans="2:24" x14ac:dyDescent="0.45">
      <c r="B232" t="s">
        <v>1004</v>
      </c>
      <c r="C232" t="str">
        <f t="shared" si="29"/>
        <v>SE2_Jetfuel_2050</v>
      </c>
      <c r="D232" t="s">
        <v>526</v>
      </c>
      <c r="E232">
        <v>2050</v>
      </c>
      <c r="F232" s="2">
        <v>13.356227106227106</v>
      </c>
      <c r="G232" t="s">
        <v>997</v>
      </c>
      <c r="H232" t="s">
        <v>1172</v>
      </c>
      <c r="K232" t="s">
        <v>1218</v>
      </c>
      <c r="L232">
        <v>650050</v>
      </c>
      <c r="M232">
        <v>0.5</v>
      </c>
      <c r="N232">
        <f t="shared" si="30"/>
        <v>325025</v>
      </c>
      <c r="R232" t="str">
        <f t="shared" si="31"/>
        <v>NO3</v>
      </c>
      <c r="S232" t="str">
        <f t="shared" si="34"/>
        <v>NO3_Jetfuel</v>
      </c>
      <c r="T232" t="s">
        <v>526</v>
      </c>
      <c r="U232">
        <f t="shared" si="33"/>
        <v>2050</v>
      </c>
      <c r="V232" s="2">
        <f t="shared" si="35"/>
        <v>120.82409633190883</v>
      </c>
      <c r="W232" s="2">
        <f>N232*$O$214*$P$214/$Q$214</f>
        <v>713249.30555555562</v>
      </c>
      <c r="X232" s="2">
        <f>VLOOKUP(_xlfn.TEXTJOIN("_",TRUE,S232,U232),$C$209:$F$307,4,FALSE)</f>
        <v>39.179258241758241</v>
      </c>
    </row>
    <row r="233" spans="2:24" x14ac:dyDescent="0.45">
      <c r="B233" t="s">
        <v>1005</v>
      </c>
      <c r="C233" t="str">
        <f t="shared" si="29"/>
        <v>SE3_Jetfuel_2030</v>
      </c>
      <c r="D233" t="s">
        <v>526</v>
      </c>
      <c r="E233">
        <v>2030</v>
      </c>
      <c r="F233" s="2">
        <v>1655.0011446886447</v>
      </c>
      <c r="G233" t="s">
        <v>997</v>
      </c>
      <c r="H233" t="s">
        <v>1172</v>
      </c>
      <c r="K233" t="s">
        <v>1185</v>
      </c>
      <c r="N233">
        <f t="shared" si="30"/>
        <v>0</v>
      </c>
      <c r="R233" t="str">
        <f t="shared" si="31"/>
        <v xml:space="preserve"> </v>
      </c>
      <c r="V233" s="2">
        <f t="shared" si="35"/>
        <v>0</v>
      </c>
      <c r="W233" s="2"/>
      <c r="X233" s="2"/>
    </row>
    <row r="234" spans="2:24" x14ac:dyDescent="0.45">
      <c r="B234" t="s">
        <v>1005</v>
      </c>
      <c r="C234" t="str">
        <f t="shared" si="29"/>
        <v>SE3_Jetfuel_2040</v>
      </c>
      <c r="D234" t="s">
        <v>526</v>
      </c>
      <c r="E234">
        <v>2040</v>
      </c>
      <c r="F234" s="2">
        <v>1387.0020604395604</v>
      </c>
      <c r="G234" t="s">
        <v>997</v>
      </c>
      <c r="H234" t="s">
        <v>1172</v>
      </c>
      <c r="K234" t="s">
        <v>1188</v>
      </c>
      <c r="N234">
        <f t="shared" si="30"/>
        <v>0</v>
      </c>
      <c r="R234" t="str">
        <f t="shared" si="31"/>
        <v xml:space="preserve">   </v>
      </c>
      <c r="V234" s="2">
        <f t="shared" si="35"/>
        <v>0</v>
      </c>
      <c r="W234" s="2"/>
      <c r="X234" s="2"/>
    </row>
    <row r="235" spans="2:24" x14ac:dyDescent="0.45">
      <c r="B235" t="s">
        <v>1005</v>
      </c>
      <c r="C235" t="str">
        <f t="shared" si="29"/>
        <v>SE3_Jetfuel_2050</v>
      </c>
      <c r="D235" t="s">
        <v>526</v>
      </c>
      <c r="E235">
        <v>2050</v>
      </c>
      <c r="F235" s="2">
        <v>1511.853250915751</v>
      </c>
      <c r="G235" t="s">
        <v>997</v>
      </c>
      <c r="H235" t="s">
        <v>1172</v>
      </c>
      <c r="K235" t="s">
        <v>1219</v>
      </c>
      <c r="L235">
        <v>0</v>
      </c>
      <c r="N235">
        <f t="shared" si="30"/>
        <v>0</v>
      </c>
      <c r="R235" t="str">
        <f t="shared" si="31"/>
        <v>NO4</v>
      </c>
      <c r="S235" t="str">
        <f t="shared" si="34"/>
        <v>NO4_Jetfuel</v>
      </c>
      <c r="T235" t="s">
        <v>526</v>
      </c>
      <c r="U235">
        <f t="shared" si="33"/>
        <v>2040</v>
      </c>
      <c r="V235" s="2">
        <f t="shared" si="35"/>
        <v>126.28434065934066</v>
      </c>
      <c r="W235" s="2"/>
      <c r="X235" s="2">
        <f>VLOOKUP(_xlfn.TEXTJOIN("_",TRUE,S235,U235),$C$209:$F$307,4,FALSE)</f>
        <v>126.28434065934066</v>
      </c>
    </row>
    <row r="236" spans="2:24" x14ac:dyDescent="0.45">
      <c r="B236" t="s">
        <v>1006</v>
      </c>
      <c r="C236" t="str">
        <f t="shared" si="29"/>
        <v>SE4_Jetfuel_2030</v>
      </c>
      <c r="D236" t="s">
        <v>526</v>
      </c>
      <c r="E236">
        <v>2030</v>
      </c>
      <c r="F236" s="2">
        <v>112.07989926739927</v>
      </c>
      <c r="G236" t="s">
        <v>997</v>
      </c>
      <c r="H236" t="s">
        <v>1172</v>
      </c>
      <c r="K236" t="s">
        <v>1220</v>
      </c>
      <c r="L236">
        <v>650050</v>
      </c>
      <c r="M236">
        <v>0.5</v>
      </c>
      <c r="N236">
        <f t="shared" si="30"/>
        <v>325025</v>
      </c>
      <c r="R236" t="str">
        <f t="shared" si="31"/>
        <v>NO4</v>
      </c>
      <c r="S236" t="str">
        <f t="shared" si="34"/>
        <v>NO4_Jetfuel</v>
      </c>
      <c r="T236" t="s">
        <v>526</v>
      </c>
      <c r="U236">
        <f t="shared" si="33"/>
        <v>2050</v>
      </c>
      <c r="V236" s="2">
        <f t="shared" si="35"/>
        <v>120.82409633190883</v>
      </c>
      <c r="W236" s="2">
        <f>N236*$O$214*$P$214/$Q$214</f>
        <v>713249.30555555562</v>
      </c>
      <c r="X236" s="2">
        <f>VLOOKUP(_xlfn.TEXTJOIN("_",TRUE,S236,U236),$C$209:$F$307,4,FALSE)</f>
        <v>39.179258241758241</v>
      </c>
    </row>
    <row r="237" spans="2:24" x14ac:dyDescent="0.45">
      <c r="B237" t="s">
        <v>1006</v>
      </c>
      <c r="C237" t="str">
        <f t="shared" si="29"/>
        <v>SE4_Jetfuel_2040</v>
      </c>
      <c r="D237" t="s">
        <v>526</v>
      </c>
      <c r="E237">
        <v>2040</v>
      </c>
      <c r="F237" s="2">
        <v>88.402014652014671</v>
      </c>
      <c r="G237" t="s">
        <v>997</v>
      </c>
      <c r="H237" t="s">
        <v>1172</v>
      </c>
      <c r="K237" t="s">
        <v>1189</v>
      </c>
      <c r="N237">
        <f t="shared" si="30"/>
        <v>0</v>
      </c>
      <c r="R237" t="str">
        <f t="shared" si="31"/>
        <v/>
      </c>
      <c r="V237" s="2">
        <f t="shared" si="35"/>
        <v>0</v>
      </c>
      <c r="W237" s="2"/>
      <c r="X237" s="2"/>
    </row>
    <row r="238" spans="2:24" x14ac:dyDescent="0.45">
      <c r="B238" t="s">
        <v>1006</v>
      </c>
      <c r="C238" t="str">
        <f t="shared" si="29"/>
        <v>SE4_Jetfuel_2050</v>
      </c>
      <c r="D238" t="s">
        <v>526</v>
      </c>
      <c r="E238">
        <v>2050</v>
      </c>
      <c r="F238" s="2">
        <v>79.346382783882802</v>
      </c>
      <c r="G238" t="s">
        <v>997</v>
      </c>
      <c r="H238" t="s">
        <v>1172</v>
      </c>
      <c r="K238" t="s">
        <v>1190</v>
      </c>
      <c r="N238">
        <f t="shared" si="30"/>
        <v>0</v>
      </c>
      <c r="R238" t="str">
        <f t="shared" si="31"/>
        <v xml:space="preserve">   </v>
      </c>
      <c r="V238" s="2">
        <f t="shared" si="35"/>
        <v>0</v>
      </c>
      <c r="W238" s="2"/>
      <c r="X238" s="2"/>
    </row>
    <row r="239" spans="2:24" x14ac:dyDescent="0.45">
      <c r="B239" t="s">
        <v>1007</v>
      </c>
      <c r="C239" t="str">
        <f t="shared" si="29"/>
        <v>SE1_Road_2030</v>
      </c>
      <c r="D239" t="s">
        <v>526</v>
      </c>
      <c r="E239">
        <v>2030</v>
      </c>
      <c r="F239" s="2">
        <v>140.80242673992672</v>
      </c>
      <c r="G239" t="s">
        <v>997</v>
      </c>
      <c r="H239" t="s">
        <v>1172</v>
      </c>
      <c r="K239" t="s">
        <v>1221</v>
      </c>
      <c r="L239">
        <v>833330</v>
      </c>
      <c r="M239">
        <v>0.3</v>
      </c>
      <c r="N239">
        <f t="shared" si="30"/>
        <v>249999</v>
      </c>
      <c r="R239" t="str">
        <f t="shared" si="31"/>
        <v>NO5</v>
      </c>
      <c r="S239" t="str">
        <f t="shared" si="34"/>
        <v>NO5_Jetfuel</v>
      </c>
      <c r="T239" t="s">
        <v>526</v>
      </c>
      <c r="U239">
        <f t="shared" si="33"/>
        <v>2040</v>
      </c>
      <c r="V239" s="2">
        <f t="shared" si="35"/>
        <v>275.01063606532358</v>
      </c>
      <c r="W239" s="2">
        <f>N239*$O$214*$P$214/$Q$214</f>
        <v>548608.91666666674</v>
      </c>
      <c r="X239" s="2">
        <f>VLOOKUP(_xlfn.TEXTJOIN("_",TRUE,S239,U239),$C$209:$F$307,4,FALSE)</f>
        <v>212.21199633699635</v>
      </c>
    </row>
    <row r="240" spans="2:24" x14ac:dyDescent="0.45">
      <c r="B240" t="s">
        <v>1007</v>
      </c>
      <c r="C240" t="str">
        <f t="shared" si="29"/>
        <v>SE1_Road_2040</v>
      </c>
      <c r="D240" t="s">
        <v>526</v>
      </c>
      <c r="E240">
        <v>2040</v>
      </c>
      <c r="F240" s="2">
        <v>18.445512820512818</v>
      </c>
      <c r="G240" t="s">
        <v>997</v>
      </c>
      <c r="H240" t="s">
        <v>1172</v>
      </c>
      <c r="K240" t="s">
        <v>1222</v>
      </c>
      <c r="L240">
        <v>3302320</v>
      </c>
      <c r="M240">
        <v>0.3</v>
      </c>
      <c r="N240">
        <f t="shared" si="30"/>
        <v>990696</v>
      </c>
      <c r="R240" t="str">
        <f t="shared" si="31"/>
        <v>NO5</v>
      </c>
      <c r="S240" t="str">
        <f t="shared" si="34"/>
        <v>NO5_Jetfuel</v>
      </c>
      <c r="T240" t="s">
        <v>526</v>
      </c>
      <c r="U240">
        <f t="shared" si="33"/>
        <v>2050</v>
      </c>
      <c r="V240" s="2">
        <f t="shared" si="35"/>
        <v>323.98137973137977</v>
      </c>
      <c r="W240" s="2">
        <f>N240*$O$214*$P$214/$Q$214</f>
        <v>2174027.3333333335</v>
      </c>
      <c r="X240" s="2">
        <f>VLOOKUP(_xlfn.TEXTJOIN("_",TRUE,S240,U240),$C$209:$F$307,4,FALSE)</f>
        <v>75.122939560439562</v>
      </c>
    </row>
    <row r="241" spans="2:24" x14ac:dyDescent="0.45">
      <c r="B241" t="s">
        <v>1007</v>
      </c>
      <c r="C241" t="str">
        <f t="shared" si="29"/>
        <v>SE1_Road_2050</v>
      </c>
      <c r="D241" t="s">
        <v>526</v>
      </c>
      <c r="E241">
        <v>2050</v>
      </c>
      <c r="F241" s="2">
        <v>2.0844780219780219</v>
      </c>
      <c r="G241" t="s">
        <v>997</v>
      </c>
      <c r="H241" t="s">
        <v>1172</v>
      </c>
      <c r="K241" t="s">
        <v>1191</v>
      </c>
      <c r="N241">
        <f t="shared" si="30"/>
        <v>0</v>
      </c>
      <c r="R241" t="str">
        <f t="shared" si="31"/>
        <v xml:space="preserve">   </v>
      </c>
      <c r="V241" s="2">
        <f t="shared" si="35"/>
        <v>0</v>
      </c>
      <c r="W241" s="2"/>
      <c r="X241" s="2"/>
    </row>
    <row r="242" spans="2:24" x14ac:dyDescent="0.45">
      <c r="B242" t="s">
        <v>1008</v>
      </c>
      <c r="C242" t="str">
        <f t="shared" si="29"/>
        <v>SE2_Road_2030</v>
      </c>
      <c r="D242" t="s">
        <v>526</v>
      </c>
      <c r="E242">
        <v>2030</v>
      </c>
      <c r="F242" s="2">
        <v>343.40773809523813</v>
      </c>
      <c r="G242" t="s">
        <v>997</v>
      </c>
      <c r="H242" t="s">
        <v>1172</v>
      </c>
      <c r="K242" t="s">
        <v>1192</v>
      </c>
      <c r="N242">
        <f t="shared" si="30"/>
        <v>0</v>
      </c>
      <c r="R242" t="str">
        <f t="shared" si="31"/>
        <v xml:space="preserve">   </v>
      </c>
      <c r="V242" s="2">
        <f t="shared" si="35"/>
        <v>0</v>
      </c>
      <c r="W242" s="2"/>
      <c r="X242" s="2"/>
    </row>
    <row r="243" spans="2:24" x14ac:dyDescent="0.45">
      <c r="B243" t="s">
        <v>1008</v>
      </c>
      <c r="C243" t="str">
        <f t="shared" si="29"/>
        <v>SE2_Road_2040</v>
      </c>
      <c r="D243" t="s">
        <v>526</v>
      </c>
      <c r="E243">
        <v>2040</v>
      </c>
      <c r="F243" s="2">
        <v>43.846153846153847</v>
      </c>
      <c r="G243" t="s">
        <v>997</v>
      </c>
      <c r="H243" t="s">
        <v>1172</v>
      </c>
      <c r="K243" t="s">
        <v>1223</v>
      </c>
      <c r="L243">
        <v>26710</v>
      </c>
      <c r="N243">
        <f t="shared" si="30"/>
        <v>26710</v>
      </c>
      <c r="R243" t="str">
        <f t="shared" si="31"/>
        <v>SE1</v>
      </c>
      <c r="S243" t="str">
        <f t="shared" si="34"/>
        <v>SE1_Jetfuel</v>
      </c>
      <c r="T243" t="s">
        <v>526</v>
      </c>
      <c r="U243">
        <f t="shared" si="33"/>
        <v>2040</v>
      </c>
      <c r="V243" s="2">
        <f t="shared" si="35"/>
        <v>29.065202737077737</v>
      </c>
      <c r="W243" s="2">
        <f>N243*$O$214*$P$214/$Q$214</f>
        <v>58613.611111111117</v>
      </c>
      <c r="X243" s="2">
        <f>VLOOKUP(_xlfn.TEXTJOIN("_",TRUE,S243,U243),$C$209:$F$307,4,FALSE)</f>
        <v>22.35576923076923</v>
      </c>
    </row>
    <row r="244" spans="2:24" x14ac:dyDescent="0.45">
      <c r="B244" t="s">
        <v>1008</v>
      </c>
      <c r="C244" t="str">
        <f t="shared" si="29"/>
        <v>SE2_Road_2050</v>
      </c>
      <c r="D244" t="s">
        <v>526</v>
      </c>
      <c r="E244">
        <v>2050</v>
      </c>
      <c r="F244" s="2">
        <v>4.4139194139194151</v>
      </c>
      <c r="G244" t="s">
        <v>997</v>
      </c>
      <c r="H244" t="s">
        <v>1172</v>
      </c>
      <c r="K244" t="s">
        <v>1224</v>
      </c>
      <c r="L244">
        <v>78300</v>
      </c>
      <c r="N244">
        <f t="shared" si="30"/>
        <v>78300</v>
      </c>
      <c r="R244" t="str">
        <f t="shared" si="31"/>
        <v>SE1</v>
      </c>
      <c r="S244" t="str">
        <f t="shared" si="34"/>
        <v>SE1_Jetfuel</v>
      </c>
      <c r="T244" t="s">
        <v>526</v>
      </c>
      <c r="U244">
        <f t="shared" si="33"/>
        <v>2050</v>
      </c>
      <c r="V244" s="2">
        <f t="shared" si="35"/>
        <v>26.497825091575095</v>
      </c>
      <c r="W244" s="2">
        <f>N244*$O$214*$P$214/$Q$214</f>
        <v>171825</v>
      </c>
      <c r="X244" s="2">
        <f>VLOOKUP(_xlfn.TEXTJOIN("_",TRUE,S244,U244),$C$209:$F$307,4,FALSE)</f>
        <v>6.8292124542124544</v>
      </c>
    </row>
    <row r="245" spans="2:24" x14ac:dyDescent="0.45">
      <c r="B245" t="s">
        <v>1009</v>
      </c>
      <c r="C245" t="str">
        <f t="shared" si="29"/>
        <v>SE3_Road_2030</v>
      </c>
      <c r="D245" t="s">
        <v>526</v>
      </c>
      <c r="E245">
        <v>2030</v>
      </c>
      <c r="F245" s="2">
        <v>3559.3830128205127</v>
      </c>
      <c r="G245" t="s">
        <v>997</v>
      </c>
      <c r="H245" t="s">
        <v>1172</v>
      </c>
      <c r="K245" t="s">
        <v>1193</v>
      </c>
      <c r="N245">
        <f t="shared" si="30"/>
        <v>0</v>
      </c>
      <c r="R245" t="str">
        <f t="shared" si="31"/>
        <v xml:space="preserve">   </v>
      </c>
      <c r="V245" s="2">
        <f t="shared" si="35"/>
        <v>0</v>
      </c>
      <c r="W245" s="2"/>
      <c r="X245" s="2"/>
    </row>
    <row r="246" spans="2:24" x14ac:dyDescent="0.45">
      <c r="B246" t="s">
        <v>1009</v>
      </c>
      <c r="C246" t="str">
        <f t="shared" si="29"/>
        <v>SE3_Road_2040</v>
      </c>
      <c r="D246" t="s">
        <v>526</v>
      </c>
      <c r="E246">
        <v>2040</v>
      </c>
      <c r="F246" s="2">
        <v>324.64629120879118</v>
      </c>
      <c r="G246" t="s">
        <v>997</v>
      </c>
      <c r="H246" t="s">
        <v>1172</v>
      </c>
      <c r="K246" t="s">
        <v>1194</v>
      </c>
      <c r="N246">
        <f t="shared" si="30"/>
        <v>0</v>
      </c>
      <c r="R246" t="str">
        <f t="shared" si="31"/>
        <v xml:space="preserve">   </v>
      </c>
      <c r="V246" s="2">
        <f t="shared" si="35"/>
        <v>0</v>
      </c>
      <c r="W246" s="2"/>
      <c r="X246" s="2"/>
    </row>
    <row r="247" spans="2:24" x14ac:dyDescent="0.45">
      <c r="B247" t="s">
        <v>1009</v>
      </c>
      <c r="C247" t="str">
        <f t="shared" si="29"/>
        <v>SE3_Road_2050</v>
      </c>
      <c r="D247" t="s">
        <v>526</v>
      </c>
      <c r="E247">
        <v>2050</v>
      </c>
      <c r="F247" s="2">
        <v>26.391941391941391</v>
      </c>
      <c r="G247" t="s">
        <v>997</v>
      </c>
      <c r="H247" t="s">
        <v>1172</v>
      </c>
      <c r="K247" t="s">
        <v>1225</v>
      </c>
      <c r="L247">
        <v>38510</v>
      </c>
      <c r="N247">
        <f t="shared" si="30"/>
        <v>38510</v>
      </c>
      <c r="R247" t="str">
        <f t="shared" si="31"/>
        <v>SE2</v>
      </c>
      <c r="S247" t="str">
        <f t="shared" si="34"/>
        <v>SE2_Jetfuel</v>
      </c>
      <c r="T247" t="s">
        <v>526</v>
      </c>
      <c r="U247">
        <f t="shared" si="33"/>
        <v>2040</v>
      </c>
      <c r="V247" s="2">
        <f t="shared" si="35"/>
        <v>44.687277421652425</v>
      </c>
      <c r="W247" s="2">
        <f>N247*$O$214*$P$214/$Q$214</f>
        <v>84508.055555555562</v>
      </c>
      <c r="X247" s="2">
        <f>VLOOKUP(_xlfn.TEXTJOIN("_",TRUE,S247,U247),$C$209:$F$307,4,FALSE)</f>
        <v>35.013736263736263</v>
      </c>
    </row>
    <row r="248" spans="2:24" x14ac:dyDescent="0.45">
      <c r="B248" t="s">
        <v>1010</v>
      </c>
      <c r="C248" t="str">
        <f t="shared" si="29"/>
        <v>SE4_Road_2030</v>
      </c>
      <c r="D248" t="s">
        <v>526</v>
      </c>
      <c r="E248">
        <v>2030</v>
      </c>
      <c r="F248" s="2">
        <v>990.55746336996333</v>
      </c>
      <c r="G248" t="s">
        <v>997</v>
      </c>
      <c r="H248" t="s">
        <v>1172</v>
      </c>
      <c r="K248" t="s">
        <v>1226</v>
      </c>
      <c r="L248">
        <v>113160</v>
      </c>
      <c r="N248">
        <f t="shared" si="30"/>
        <v>113160</v>
      </c>
      <c r="R248" t="str">
        <f t="shared" si="31"/>
        <v>SE2</v>
      </c>
      <c r="S248" t="str">
        <f t="shared" si="34"/>
        <v>SE2_Jetfuel</v>
      </c>
      <c r="T248" t="s">
        <v>526</v>
      </c>
      <c r="U248">
        <f t="shared" si="33"/>
        <v>2050</v>
      </c>
      <c r="V248" s="2">
        <f t="shared" si="35"/>
        <v>41.781517094017097</v>
      </c>
      <c r="W248" s="2">
        <f>N248*$O$214*$P$214/$Q$214</f>
        <v>248323.33333333337</v>
      </c>
      <c r="X248" s="2">
        <f>VLOOKUP(_xlfn.TEXTJOIN("_",TRUE,S248,U248),$C$209:$F$307,4,FALSE)</f>
        <v>13.356227106227106</v>
      </c>
    </row>
    <row r="249" spans="2:24" x14ac:dyDescent="0.45">
      <c r="B249" t="s">
        <v>1010</v>
      </c>
      <c r="C249" t="str">
        <f t="shared" si="29"/>
        <v>SE4_Road_2040</v>
      </c>
      <c r="D249" t="s">
        <v>526</v>
      </c>
      <c r="E249">
        <v>2040</v>
      </c>
      <c r="F249" s="2">
        <v>105.88484432234432</v>
      </c>
      <c r="G249" t="s">
        <v>997</v>
      </c>
      <c r="H249" t="s">
        <v>1172</v>
      </c>
      <c r="K249" t="s">
        <v>1183</v>
      </c>
      <c r="N249">
        <f t="shared" si="30"/>
        <v>0</v>
      </c>
      <c r="R249" t="str">
        <f t="shared" si="31"/>
        <v xml:space="preserve">  </v>
      </c>
      <c r="V249" s="2">
        <f t="shared" si="35"/>
        <v>0</v>
      </c>
      <c r="W249" s="2"/>
      <c r="X249" s="2"/>
    </row>
    <row r="250" spans="2:24" x14ac:dyDescent="0.45">
      <c r="B250" t="s">
        <v>1010</v>
      </c>
      <c r="C250" t="str">
        <f t="shared" si="29"/>
        <v>SE4_Road_2050</v>
      </c>
      <c r="D250" t="s">
        <v>526</v>
      </c>
      <c r="E250">
        <v>2050</v>
      </c>
      <c r="F250" s="2">
        <v>8.9514652014652007</v>
      </c>
      <c r="G250" t="s">
        <v>997</v>
      </c>
      <c r="H250" t="s">
        <v>1172</v>
      </c>
      <c r="K250" t="s">
        <v>1195</v>
      </c>
      <c r="N250">
        <f t="shared" si="30"/>
        <v>0</v>
      </c>
      <c r="R250" t="str">
        <f t="shared" si="31"/>
        <v xml:space="preserve">   </v>
      </c>
      <c r="V250" s="2">
        <f t="shared" si="35"/>
        <v>0</v>
      </c>
      <c r="W250" s="2"/>
      <c r="X250" s="2"/>
    </row>
    <row r="251" spans="2:24" x14ac:dyDescent="0.45">
      <c r="B251" t="s">
        <v>1011</v>
      </c>
      <c r="C251" t="str">
        <f t="shared" si="29"/>
        <v>SE1_Shipping_2030</v>
      </c>
      <c r="D251" t="s">
        <v>526</v>
      </c>
      <c r="E251">
        <v>2030</v>
      </c>
      <c r="F251" s="2">
        <v>84.089972527472526</v>
      </c>
      <c r="G251" t="s">
        <v>997</v>
      </c>
      <c r="H251" t="s">
        <v>1172</v>
      </c>
      <c r="K251" t="s">
        <v>1227</v>
      </c>
      <c r="L251">
        <v>1857330</v>
      </c>
      <c r="N251">
        <f t="shared" si="30"/>
        <v>1857330</v>
      </c>
      <c r="R251" t="str">
        <f t="shared" si="31"/>
        <v>SE3</v>
      </c>
      <c r="S251" t="str">
        <f t="shared" si="34"/>
        <v>SE3_Jetfuel</v>
      </c>
      <c r="T251" t="s">
        <v>526</v>
      </c>
      <c r="U251">
        <f t="shared" si="33"/>
        <v>2040</v>
      </c>
      <c r="V251" s="2">
        <f t="shared" si="35"/>
        <v>1853.5551167582416</v>
      </c>
      <c r="W251" s="2">
        <f>N251*$O$214*$P$214/$Q$214</f>
        <v>4075807.5</v>
      </c>
      <c r="X251" s="2">
        <f>VLOOKUP(_xlfn.TEXTJOIN("_",TRUE,S251,U251),$C$209:$F$307,4,FALSE)</f>
        <v>1387.0020604395604</v>
      </c>
    </row>
    <row r="252" spans="2:24" x14ac:dyDescent="0.45">
      <c r="B252" t="s">
        <v>1011</v>
      </c>
      <c r="C252" t="str">
        <f t="shared" si="29"/>
        <v>SE1_Shipping_2040</v>
      </c>
      <c r="D252" t="s">
        <v>526</v>
      </c>
      <c r="E252">
        <v>2040</v>
      </c>
      <c r="F252" s="2">
        <v>93.825549450549445</v>
      </c>
      <c r="G252" t="s">
        <v>997</v>
      </c>
      <c r="H252" t="s">
        <v>1172</v>
      </c>
      <c r="K252" t="s">
        <v>1228</v>
      </c>
      <c r="L252">
        <v>2559350</v>
      </c>
      <c r="N252">
        <f t="shared" si="30"/>
        <v>2559350</v>
      </c>
      <c r="R252" t="str">
        <f t="shared" si="31"/>
        <v>SE3</v>
      </c>
      <c r="S252" t="str">
        <f t="shared" si="34"/>
        <v>SE3_Jetfuel</v>
      </c>
      <c r="T252" t="s">
        <v>526</v>
      </c>
      <c r="U252">
        <f t="shared" si="33"/>
        <v>2050</v>
      </c>
      <c r="V252" s="2">
        <f t="shared" si="35"/>
        <v>2154.7506168599921</v>
      </c>
      <c r="W252" s="2">
        <f>N252*$O$214*$P$214/$Q$214</f>
        <v>5616351.388888889</v>
      </c>
      <c r="X252" s="2">
        <f>VLOOKUP(_xlfn.TEXTJOIN("_",TRUE,S252,U252),$C$209:$F$307,4,FALSE)</f>
        <v>1511.853250915751</v>
      </c>
    </row>
    <row r="253" spans="2:24" x14ac:dyDescent="0.45">
      <c r="B253" t="s">
        <v>1011</v>
      </c>
      <c r="C253" t="str">
        <f t="shared" si="29"/>
        <v>SE1_Shipping_2050</v>
      </c>
      <c r="D253" t="s">
        <v>526</v>
      </c>
      <c r="E253">
        <v>2050</v>
      </c>
      <c r="F253" s="2">
        <v>102.71062271062273</v>
      </c>
      <c r="G253" t="s">
        <v>997</v>
      </c>
      <c r="H253" t="s">
        <v>1172</v>
      </c>
      <c r="K253" t="s">
        <v>1196</v>
      </c>
      <c r="N253">
        <f t="shared" si="30"/>
        <v>0</v>
      </c>
      <c r="R253" t="str">
        <f t="shared" si="31"/>
        <v/>
      </c>
      <c r="V253" s="2">
        <f t="shared" si="35"/>
        <v>0</v>
      </c>
      <c r="W253" s="2"/>
      <c r="X253" s="2"/>
    </row>
    <row r="254" spans="2:24" x14ac:dyDescent="0.45">
      <c r="B254" t="s">
        <v>1012</v>
      </c>
      <c r="C254" t="str">
        <f t="shared" si="29"/>
        <v>SE2_Shipping_2030</v>
      </c>
      <c r="D254" t="s">
        <v>526</v>
      </c>
      <c r="E254">
        <v>2030</v>
      </c>
      <c r="F254" s="2">
        <v>203.18223443223442</v>
      </c>
      <c r="G254" t="s">
        <v>997</v>
      </c>
      <c r="H254" t="s">
        <v>1172</v>
      </c>
      <c r="K254" t="s">
        <v>1197</v>
      </c>
      <c r="N254">
        <f t="shared" si="30"/>
        <v>0</v>
      </c>
      <c r="R254" t="str">
        <f t="shared" si="31"/>
        <v xml:space="preserve">   </v>
      </c>
      <c r="V254" s="2">
        <f t="shared" si="35"/>
        <v>0</v>
      </c>
      <c r="W254" s="2"/>
      <c r="X254" s="2"/>
    </row>
    <row r="255" spans="2:24" x14ac:dyDescent="0.45">
      <c r="B255" t="s">
        <v>1012</v>
      </c>
      <c r="C255" t="str">
        <f t="shared" si="29"/>
        <v>SE2_Shipping_2040</v>
      </c>
      <c r="D255" t="s">
        <v>526</v>
      </c>
      <c r="E255">
        <v>2040</v>
      </c>
      <c r="F255" s="2">
        <v>222.92811355311358</v>
      </c>
      <c r="G255" t="s">
        <v>997</v>
      </c>
      <c r="H255" t="s">
        <v>1172</v>
      </c>
      <c r="K255" t="s">
        <v>1229</v>
      </c>
      <c r="L255">
        <v>122080</v>
      </c>
      <c r="N255">
        <f t="shared" si="30"/>
        <v>122080</v>
      </c>
      <c r="R255" t="str">
        <f t="shared" si="31"/>
        <v>SE4</v>
      </c>
      <c r="S255" t="str">
        <f t="shared" si="34"/>
        <v>SE4_Jetfuel</v>
      </c>
      <c r="T255" t="s">
        <v>526</v>
      </c>
      <c r="U255">
        <f t="shared" si="33"/>
        <v>2040</v>
      </c>
      <c r="V255" s="2">
        <f t="shared" ref="V255:V286" si="36">W255/8736+X255</f>
        <v>119.06796906796909</v>
      </c>
      <c r="W255" s="2">
        <f>N255*$O$214*$P$214/$Q$214</f>
        <v>267897.77777777775</v>
      </c>
      <c r="X255" s="2">
        <f>VLOOKUP(_xlfn.TEXTJOIN("_",TRUE,S255,U255),$C$209:$F$307,4,FALSE)</f>
        <v>88.402014652014671</v>
      </c>
    </row>
    <row r="256" spans="2:24" x14ac:dyDescent="0.45">
      <c r="B256" t="s">
        <v>1012</v>
      </c>
      <c r="C256" t="str">
        <f t="shared" si="29"/>
        <v>SE2_Shipping_2050</v>
      </c>
      <c r="D256" t="s">
        <v>526</v>
      </c>
      <c r="E256">
        <v>2050</v>
      </c>
      <c r="F256" s="2">
        <v>242.54578754578753</v>
      </c>
      <c r="G256" t="s">
        <v>997</v>
      </c>
      <c r="H256" t="s">
        <v>1172</v>
      </c>
      <c r="K256" t="s">
        <v>1230</v>
      </c>
      <c r="L256">
        <v>205970</v>
      </c>
      <c r="N256">
        <f t="shared" si="30"/>
        <v>205970</v>
      </c>
      <c r="R256" t="str">
        <f t="shared" si="31"/>
        <v>SE4</v>
      </c>
      <c r="S256" t="str">
        <f t="shared" si="34"/>
        <v>SE4_Jetfuel</v>
      </c>
      <c r="T256" t="s">
        <v>526</v>
      </c>
      <c r="U256">
        <f t="shared" si="33"/>
        <v>2050</v>
      </c>
      <c r="V256" s="2">
        <f t="shared" si="36"/>
        <v>131.08513303825805</v>
      </c>
      <c r="W256" s="2">
        <f>N256*$O$214*$P$214/$Q$214</f>
        <v>451989.72222222231</v>
      </c>
      <c r="X256" s="2">
        <f>VLOOKUP(_xlfn.TEXTJOIN("_",TRUE,S256,U256),$C$209:$F$307,4,FALSE)</f>
        <v>79.346382783882802</v>
      </c>
    </row>
    <row r="257" spans="2:24" x14ac:dyDescent="0.45">
      <c r="B257" t="s">
        <v>1013</v>
      </c>
      <c r="C257" t="str">
        <f t="shared" si="29"/>
        <v>SE3_Shipping_2030</v>
      </c>
      <c r="D257" t="s">
        <v>526</v>
      </c>
      <c r="E257">
        <v>2030</v>
      </c>
      <c r="F257" s="2">
        <v>1058.8701923076926</v>
      </c>
      <c r="G257" t="s">
        <v>997</v>
      </c>
      <c r="H257" t="s">
        <v>1172</v>
      </c>
      <c r="N257">
        <f t="shared" si="30"/>
        <v>0</v>
      </c>
      <c r="R257" t="str">
        <f t="shared" si="31"/>
        <v/>
      </c>
      <c r="V257" s="2">
        <f t="shared" si="36"/>
        <v>0</v>
      </c>
      <c r="W257" s="2"/>
      <c r="X257" s="2"/>
    </row>
    <row r="258" spans="2:24" x14ac:dyDescent="0.45">
      <c r="B258" t="s">
        <v>1013</v>
      </c>
      <c r="C258" t="str">
        <f t="shared" si="29"/>
        <v>SE3_Shipping_2040</v>
      </c>
      <c r="D258" t="s">
        <v>526</v>
      </c>
      <c r="E258">
        <v>2040</v>
      </c>
      <c r="F258" s="2">
        <v>1190.5254120879122</v>
      </c>
      <c r="G258" t="s">
        <v>997</v>
      </c>
      <c r="H258" t="s">
        <v>1172</v>
      </c>
      <c r="N258">
        <f t="shared" si="30"/>
        <v>0</v>
      </c>
      <c r="R258" t="str">
        <f t="shared" si="31"/>
        <v/>
      </c>
      <c r="V258" s="2">
        <f t="shared" si="36"/>
        <v>0</v>
      </c>
      <c r="W258" s="2"/>
      <c r="X258" s="2"/>
    </row>
    <row r="259" spans="2:24" x14ac:dyDescent="0.45">
      <c r="B259" t="s">
        <v>1013</v>
      </c>
      <c r="C259" t="str">
        <f t="shared" si="29"/>
        <v>SE3_Shipping_2050</v>
      </c>
      <c r="D259" t="s">
        <v>526</v>
      </c>
      <c r="E259">
        <v>2050</v>
      </c>
      <c r="F259" s="2">
        <v>1286.8040293040294</v>
      </c>
      <c r="G259" t="s">
        <v>997</v>
      </c>
      <c r="H259" t="s">
        <v>1172</v>
      </c>
      <c r="K259" t="s">
        <v>1198</v>
      </c>
      <c r="N259">
        <f t="shared" si="30"/>
        <v>0</v>
      </c>
      <c r="R259" t="str">
        <f t="shared" si="31"/>
        <v xml:space="preserve">   </v>
      </c>
      <c r="V259" s="2">
        <f t="shared" si="36"/>
        <v>0</v>
      </c>
      <c r="W259" s="2"/>
      <c r="X259" s="2"/>
    </row>
    <row r="260" spans="2:24" x14ac:dyDescent="0.45">
      <c r="B260" t="s">
        <v>1014</v>
      </c>
      <c r="C260" t="str">
        <f t="shared" si="29"/>
        <v>SE4_Shipping_2030</v>
      </c>
      <c r="D260" t="s">
        <v>526</v>
      </c>
      <c r="E260">
        <v>2030</v>
      </c>
      <c r="F260" s="2">
        <v>663.56799450549454</v>
      </c>
      <c r="G260" t="s">
        <v>997</v>
      </c>
      <c r="H260" t="s">
        <v>1172</v>
      </c>
      <c r="K260" t="s">
        <v>1231</v>
      </c>
      <c r="L260">
        <v>1008060</v>
      </c>
      <c r="N260">
        <f t="shared" si="30"/>
        <v>1008060</v>
      </c>
      <c r="O260">
        <v>0.5</v>
      </c>
      <c r="P260">
        <v>0.81</v>
      </c>
      <c r="Q260">
        <v>0.36</v>
      </c>
      <c r="R260" t="str">
        <f t="shared" si="31"/>
        <v>DK1</v>
      </c>
      <c r="S260" t="str">
        <f>_xlfn.TEXTJOIN("_",TRUE,R260,"Road")</f>
        <v>DK1_Road</v>
      </c>
      <c r="T260" t="s">
        <v>526</v>
      </c>
      <c r="U260">
        <f t="shared" si="33"/>
        <v>2030</v>
      </c>
      <c r="V260" s="2">
        <f t="shared" si="36"/>
        <v>1582.0750343406594</v>
      </c>
      <c r="W260" s="2">
        <f>N260*$O$260*$P$260/$Q$260</f>
        <v>1134067.5000000002</v>
      </c>
      <c r="X260" s="2">
        <f>VLOOKUP(_xlfn.TEXTJOIN("_",TRUE,S260,U260),$C$209:$F$307,4,FALSE)</f>
        <v>1452.2596153846155</v>
      </c>
    </row>
    <row r="261" spans="2:24" x14ac:dyDescent="0.45">
      <c r="B261" t="s">
        <v>1014</v>
      </c>
      <c r="C261" t="str">
        <f t="shared" si="29"/>
        <v>SE4_Shipping_2040</v>
      </c>
      <c r="D261" t="s">
        <v>526</v>
      </c>
      <c r="E261">
        <v>2040</v>
      </c>
      <c r="F261" s="2">
        <v>759.08424908424922</v>
      </c>
      <c r="G261" t="s">
        <v>997</v>
      </c>
      <c r="H261" t="s">
        <v>1172</v>
      </c>
      <c r="K261" t="s">
        <v>1232</v>
      </c>
      <c r="L261">
        <v>3733390</v>
      </c>
      <c r="N261">
        <f t="shared" si="30"/>
        <v>3733390</v>
      </c>
      <c r="R261" t="str">
        <f t="shared" si="31"/>
        <v>DK1</v>
      </c>
      <c r="S261" t="str">
        <f t="shared" ref="S261:S313" si="37">_xlfn.TEXTJOIN("_",TRUE,R261,"Road")</f>
        <v>DK1_Road</v>
      </c>
      <c r="T261" t="s">
        <v>526</v>
      </c>
      <c r="U261">
        <f t="shared" si="33"/>
        <v>2040</v>
      </c>
      <c r="V261" s="2">
        <f t="shared" si="36"/>
        <v>612.12039262820531</v>
      </c>
      <c r="W261" s="2">
        <f>N261*$O$260*$P$260/$Q$260</f>
        <v>4200063.7500000009</v>
      </c>
      <c r="X261" s="2">
        <f>VLOOKUP(_xlfn.TEXTJOIN("_",TRUE,S261,U261),$C$209:$F$307,4,FALSE)</f>
        <v>131.34386446886447</v>
      </c>
    </row>
    <row r="262" spans="2:24" x14ac:dyDescent="0.45">
      <c r="B262" t="s">
        <v>1014</v>
      </c>
      <c r="C262" t="str">
        <f t="shared" si="29"/>
        <v>SE4_Shipping_2050</v>
      </c>
      <c r="D262" t="s">
        <v>526</v>
      </c>
      <c r="E262">
        <v>2050</v>
      </c>
      <c r="F262" s="2">
        <v>794.35325091575089</v>
      </c>
      <c r="G262" t="s">
        <v>997</v>
      </c>
      <c r="H262" t="s">
        <v>1172</v>
      </c>
      <c r="K262" t="s">
        <v>1233</v>
      </c>
      <c r="L262">
        <v>4608880</v>
      </c>
      <c r="N262">
        <f t="shared" si="30"/>
        <v>4608880</v>
      </c>
      <c r="R262" t="str">
        <f t="shared" si="31"/>
        <v>DK1</v>
      </c>
      <c r="S262" t="str">
        <f t="shared" si="37"/>
        <v>DK1_Road</v>
      </c>
      <c r="T262" t="s">
        <v>526</v>
      </c>
      <c r="U262">
        <f t="shared" si="33"/>
        <v>2050</v>
      </c>
      <c r="V262" s="2">
        <f t="shared" si="36"/>
        <v>598.74656593406598</v>
      </c>
      <c r="W262" s="2">
        <f>N262*$O$260*$P$260/$Q$260</f>
        <v>5184990.0000000009</v>
      </c>
      <c r="X262" s="2">
        <f>VLOOKUP(_xlfn.TEXTJOIN("_",TRUE,S262,U262),$C$209:$F$307,4,FALSE)</f>
        <v>5.2266483516483513</v>
      </c>
    </row>
    <row r="263" spans="2:24" x14ac:dyDescent="0.45">
      <c r="B263" t="s">
        <v>1015</v>
      </c>
      <c r="C263" t="str">
        <f t="shared" si="29"/>
        <v>NO1_Shipping_2030</v>
      </c>
      <c r="D263" t="s">
        <v>526</v>
      </c>
      <c r="E263">
        <v>2030</v>
      </c>
      <c r="F263" s="2">
        <v>166.42811355311355</v>
      </c>
      <c r="G263" t="s">
        <v>997</v>
      </c>
      <c r="H263" t="s">
        <v>1173</v>
      </c>
      <c r="K263" t="s">
        <v>1181</v>
      </c>
      <c r="N263">
        <f t="shared" si="30"/>
        <v>0</v>
      </c>
      <c r="R263" t="str">
        <f t="shared" si="31"/>
        <v xml:space="preserve">   </v>
      </c>
      <c r="V263" s="2">
        <f t="shared" si="36"/>
        <v>0</v>
      </c>
      <c r="W263" s="2"/>
      <c r="X263" s="2"/>
    </row>
    <row r="264" spans="2:24" x14ac:dyDescent="0.45">
      <c r="B264" t="s">
        <v>1015</v>
      </c>
      <c r="C264" t="str">
        <f t="shared" si="29"/>
        <v>NO1_Shipping_2040</v>
      </c>
      <c r="D264" t="s">
        <v>526</v>
      </c>
      <c r="E264">
        <v>2040</v>
      </c>
      <c r="F264" s="2">
        <v>183.77518315018315</v>
      </c>
      <c r="G264" t="s">
        <v>997</v>
      </c>
      <c r="H264" t="s">
        <v>1173</v>
      </c>
      <c r="K264" t="s">
        <v>1199</v>
      </c>
      <c r="N264">
        <f t="shared" si="30"/>
        <v>0</v>
      </c>
      <c r="R264" t="str">
        <f t="shared" si="31"/>
        <v xml:space="preserve">   </v>
      </c>
      <c r="V264" s="2">
        <f t="shared" si="36"/>
        <v>0</v>
      </c>
      <c r="W264" s="2"/>
      <c r="X264" s="2"/>
    </row>
    <row r="265" spans="2:24" x14ac:dyDescent="0.45">
      <c r="B265" t="s">
        <v>1015</v>
      </c>
      <c r="C265" t="str">
        <f t="shared" si="29"/>
        <v>NO1_Shipping_2050</v>
      </c>
      <c r="D265" t="s">
        <v>526</v>
      </c>
      <c r="E265">
        <v>2050</v>
      </c>
      <c r="F265" s="2">
        <v>193.43727106227112</v>
      </c>
      <c r="G265" t="s">
        <v>997</v>
      </c>
      <c r="H265" t="s">
        <v>1173</v>
      </c>
      <c r="K265" t="s">
        <v>1234</v>
      </c>
      <c r="L265">
        <v>671080</v>
      </c>
      <c r="N265">
        <f t="shared" si="30"/>
        <v>671080</v>
      </c>
      <c r="R265" t="str">
        <f t="shared" si="31"/>
        <v>DK2</v>
      </c>
      <c r="S265" t="str">
        <f t="shared" si="37"/>
        <v>DK2_Road</v>
      </c>
      <c r="T265" t="s">
        <v>526</v>
      </c>
      <c r="U265">
        <f t="shared" si="33"/>
        <v>2030</v>
      </c>
      <c r="V265" s="2">
        <f t="shared" si="36"/>
        <v>1045.2249313186812</v>
      </c>
      <c r="W265" s="2">
        <f>N265*$O$260*$P$260/$Q$260</f>
        <v>754965.00000000012</v>
      </c>
      <c r="X265" s="2">
        <f>VLOOKUP(_xlfn.TEXTJOIN("_",TRUE,S265,U265),$C$209:$F$307,4,FALSE)</f>
        <v>958.80494505494505</v>
      </c>
    </row>
    <row r="266" spans="2:24" x14ac:dyDescent="0.45">
      <c r="B266" t="s">
        <v>1016</v>
      </c>
      <c r="C266" t="str">
        <f t="shared" si="29"/>
        <v>NO2_Shipping_2030</v>
      </c>
      <c r="D266" t="s">
        <v>526</v>
      </c>
      <c r="E266">
        <v>2030</v>
      </c>
      <c r="F266" s="2">
        <v>124.82108516483514</v>
      </c>
      <c r="G266" t="s">
        <v>997</v>
      </c>
      <c r="H266" t="s">
        <v>1173</v>
      </c>
      <c r="K266" t="s">
        <v>1235</v>
      </c>
      <c r="L266">
        <v>2472100</v>
      </c>
      <c r="N266">
        <f t="shared" si="30"/>
        <v>2472100</v>
      </c>
      <c r="R266" t="str">
        <f t="shared" si="31"/>
        <v>DK2</v>
      </c>
      <c r="S266" t="str">
        <f t="shared" si="37"/>
        <v>DK2_Road</v>
      </c>
      <c r="T266" t="s">
        <v>526</v>
      </c>
      <c r="U266">
        <f t="shared" si="33"/>
        <v>2040</v>
      </c>
      <c r="V266" s="2">
        <f t="shared" si="36"/>
        <v>406.14955357142867</v>
      </c>
      <c r="W266" s="2">
        <f>N266*$O$260*$P$260/$Q$260</f>
        <v>2781112.5000000005</v>
      </c>
      <c r="X266" s="2">
        <f>VLOOKUP(_xlfn.TEXTJOIN("_",TRUE,S266,U266),$C$209:$F$307,4,FALSE)</f>
        <v>87.798763736263737</v>
      </c>
    </row>
    <row r="267" spans="2:24" x14ac:dyDescent="0.45">
      <c r="B267" t="s">
        <v>1016</v>
      </c>
      <c r="C267" t="str">
        <f t="shared" si="29"/>
        <v>NO2_Shipping_2040</v>
      </c>
      <c r="D267" t="s">
        <v>526</v>
      </c>
      <c r="E267">
        <v>2040</v>
      </c>
      <c r="F267" s="2">
        <v>137.83138736263734</v>
      </c>
      <c r="G267" t="s">
        <v>997</v>
      </c>
      <c r="H267" t="s">
        <v>1173</v>
      </c>
      <c r="K267" t="s">
        <v>1236</v>
      </c>
      <c r="L267">
        <v>3055900</v>
      </c>
      <c r="N267">
        <f t="shared" si="30"/>
        <v>3055900</v>
      </c>
      <c r="R267" t="str">
        <f t="shared" si="31"/>
        <v>DK2</v>
      </c>
      <c r="S267" t="str">
        <f t="shared" si="37"/>
        <v>DK2_Road</v>
      </c>
      <c r="T267" t="s">
        <v>526</v>
      </c>
      <c r="U267">
        <f t="shared" si="33"/>
        <v>2050</v>
      </c>
      <c r="V267" s="2">
        <f t="shared" si="36"/>
        <v>397.5912889194139</v>
      </c>
      <c r="W267" s="2">
        <f>N267*$O$260*$P$260/$Q$260</f>
        <v>3437887.5</v>
      </c>
      <c r="X267" s="2">
        <f>VLOOKUP(_xlfn.TEXTJOIN("_",TRUE,S267,U267),$C$209:$F$307,4,FALSE)</f>
        <v>4.0602106227106223</v>
      </c>
    </row>
    <row r="268" spans="2:24" x14ac:dyDescent="0.45">
      <c r="B268" t="s">
        <v>1016</v>
      </c>
      <c r="C268" t="str">
        <f t="shared" si="29"/>
        <v>NO2_Shipping_2050</v>
      </c>
      <c r="D268" t="s">
        <v>526</v>
      </c>
      <c r="E268">
        <v>2050</v>
      </c>
      <c r="F268" s="2">
        <v>145.07795329670333</v>
      </c>
      <c r="G268" t="s">
        <v>997</v>
      </c>
      <c r="H268" t="s">
        <v>1173</v>
      </c>
      <c r="K268" t="s">
        <v>1183</v>
      </c>
      <c r="N268">
        <f t="shared" si="30"/>
        <v>0</v>
      </c>
      <c r="R268" t="str">
        <f t="shared" si="31"/>
        <v xml:space="preserve">  </v>
      </c>
      <c r="V268" s="2">
        <f t="shared" si="36"/>
        <v>0</v>
      </c>
      <c r="W268" s="2"/>
      <c r="X268" s="2"/>
    </row>
    <row r="269" spans="2:24" x14ac:dyDescent="0.45">
      <c r="B269" t="s">
        <v>1017</v>
      </c>
      <c r="C269" t="str">
        <f t="shared" si="29"/>
        <v>NO3_Shipping_2030</v>
      </c>
      <c r="D269" t="s">
        <v>526</v>
      </c>
      <c r="E269">
        <v>2030</v>
      </c>
      <c r="F269" s="2">
        <v>88.424336080586087</v>
      </c>
      <c r="G269" t="s">
        <v>997</v>
      </c>
      <c r="H269" t="s">
        <v>1174</v>
      </c>
      <c r="N269">
        <f t="shared" si="30"/>
        <v>0</v>
      </c>
      <c r="R269" t="str">
        <f t="shared" si="31"/>
        <v/>
      </c>
      <c r="V269" s="2">
        <f t="shared" si="36"/>
        <v>0</v>
      </c>
      <c r="W269" s="2"/>
      <c r="X269" s="2"/>
    </row>
    <row r="270" spans="2:24" x14ac:dyDescent="0.45">
      <c r="B270" t="s">
        <v>1017</v>
      </c>
      <c r="C270" t="str">
        <f t="shared" si="29"/>
        <v>NO3_Shipping_2040</v>
      </c>
      <c r="D270" t="s">
        <v>526</v>
      </c>
      <c r="E270">
        <v>2040</v>
      </c>
      <c r="F270" s="2">
        <v>96.526442307692321</v>
      </c>
      <c r="G270" t="s">
        <v>997</v>
      </c>
      <c r="H270" t="s">
        <v>1174</v>
      </c>
      <c r="K270" t="s">
        <v>1200</v>
      </c>
      <c r="N270">
        <f t="shared" si="30"/>
        <v>0</v>
      </c>
      <c r="R270" t="str">
        <f t="shared" si="31"/>
        <v xml:space="preserve">   </v>
      </c>
      <c r="V270" s="2">
        <f t="shared" si="36"/>
        <v>0</v>
      </c>
      <c r="W270" s="2"/>
      <c r="X270" s="2"/>
    </row>
    <row r="271" spans="2:24" x14ac:dyDescent="0.45">
      <c r="B271" t="s">
        <v>1017</v>
      </c>
      <c r="C271" t="str">
        <f t="shared" si="29"/>
        <v>NO3_Shipping_2050</v>
      </c>
      <c r="D271" t="s">
        <v>526</v>
      </c>
      <c r="E271">
        <v>2050</v>
      </c>
      <c r="F271" s="2">
        <v>101.7032967032967</v>
      </c>
      <c r="G271" t="s">
        <v>997</v>
      </c>
      <c r="H271" t="s">
        <v>1174</v>
      </c>
      <c r="K271" t="s">
        <v>1237</v>
      </c>
      <c r="L271">
        <v>2562320</v>
      </c>
      <c r="M271">
        <v>0.4</v>
      </c>
      <c r="N271">
        <f t="shared" si="30"/>
        <v>1024928</v>
      </c>
      <c r="R271" t="str">
        <f t="shared" si="31"/>
        <v>NO1</v>
      </c>
      <c r="S271" t="str">
        <f t="shared" si="37"/>
        <v>NO1_Road</v>
      </c>
      <c r="T271" t="s">
        <v>526</v>
      </c>
      <c r="U271">
        <f t="shared" si="33"/>
        <v>2030</v>
      </c>
      <c r="V271" s="2">
        <f t="shared" si="36"/>
        <v>679.7110805860807</v>
      </c>
      <c r="W271" s="2">
        <f>N271*$O$260*$P$260/$Q$260</f>
        <v>1153044</v>
      </c>
      <c r="X271" s="2">
        <f>VLOOKUP(_xlfn.TEXTJOIN("_",TRUE,S271,U271),$C$209:$F$307,4,FALSE)</f>
        <v>547.72344322344327</v>
      </c>
    </row>
    <row r="272" spans="2:24" x14ac:dyDescent="0.45">
      <c r="B272" t="s">
        <v>1018</v>
      </c>
      <c r="C272" t="str">
        <f t="shared" si="29"/>
        <v>NO4_Shipping_2030</v>
      </c>
      <c r="D272" t="s">
        <v>526</v>
      </c>
      <c r="E272">
        <v>2030</v>
      </c>
      <c r="F272" s="2">
        <v>88.424336080586087</v>
      </c>
      <c r="G272" t="s">
        <v>997</v>
      </c>
      <c r="H272" t="s">
        <v>1174</v>
      </c>
      <c r="K272" t="s">
        <v>1238</v>
      </c>
      <c r="L272">
        <v>4834810</v>
      </c>
      <c r="M272">
        <v>0.4</v>
      </c>
      <c r="N272">
        <f t="shared" si="30"/>
        <v>1933924</v>
      </c>
      <c r="R272" t="str">
        <f t="shared" si="31"/>
        <v>NO1</v>
      </c>
      <c r="S272" t="str">
        <f t="shared" si="37"/>
        <v>NO1_Road</v>
      </c>
      <c r="T272" t="s">
        <v>526</v>
      </c>
      <c r="U272">
        <f t="shared" si="33"/>
        <v>2040</v>
      </c>
      <c r="V272" s="2">
        <f t="shared" si="36"/>
        <v>293.68229166666674</v>
      </c>
      <c r="W272" s="2">
        <f>N272*$O$260*$P$260/$Q$260</f>
        <v>2175664.5000000005</v>
      </c>
      <c r="X272" s="2">
        <f>VLOOKUP(_xlfn.TEXTJOIN("_",TRUE,S272,U272),$C$209:$F$307,4,FALSE)</f>
        <v>44.63644688644689</v>
      </c>
    </row>
    <row r="273" spans="2:24" x14ac:dyDescent="0.45">
      <c r="B273" t="s">
        <v>1018</v>
      </c>
      <c r="C273" t="str">
        <f t="shared" si="29"/>
        <v>NO4_Shipping_2040</v>
      </c>
      <c r="D273" t="s">
        <v>526</v>
      </c>
      <c r="E273">
        <v>2040</v>
      </c>
      <c r="F273" s="2">
        <v>96.526442307692321</v>
      </c>
      <c r="G273" t="s">
        <v>997</v>
      </c>
      <c r="H273" t="s">
        <v>1174</v>
      </c>
      <c r="K273" t="s">
        <v>1239</v>
      </c>
      <c r="L273">
        <v>5783270</v>
      </c>
      <c r="M273">
        <v>0.4</v>
      </c>
      <c r="N273">
        <f t="shared" si="30"/>
        <v>2313308</v>
      </c>
      <c r="R273" t="str">
        <f t="shared" si="31"/>
        <v>NO1</v>
      </c>
      <c r="S273" t="str">
        <f t="shared" si="37"/>
        <v>NO1_Road</v>
      </c>
      <c r="T273" t="s">
        <v>526</v>
      </c>
      <c r="U273">
        <f t="shared" si="33"/>
        <v>2050</v>
      </c>
      <c r="V273" s="2">
        <f t="shared" si="36"/>
        <v>303.78977793040298</v>
      </c>
      <c r="W273" s="2">
        <f>N273*$O$260*$P$260/$Q$260</f>
        <v>2602471.5000000005</v>
      </c>
      <c r="X273" s="2">
        <f>VLOOKUP(_xlfn.TEXTJOIN("_",TRUE,S273,U273),$C$209:$F$307,4,FALSE)</f>
        <v>5.8878205128205146</v>
      </c>
    </row>
    <row r="274" spans="2:24" x14ac:dyDescent="0.45">
      <c r="B274" t="s">
        <v>1018</v>
      </c>
      <c r="C274" t="str">
        <f t="shared" ref="C274:C307" si="38">_xlfn.TEXTJOIN("_",TRUE,B274,E274)</f>
        <v>NO4_Shipping_2050</v>
      </c>
      <c r="D274" t="s">
        <v>526</v>
      </c>
      <c r="E274">
        <v>2050</v>
      </c>
      <c r="F274" s="2">
        <v>101.7032967032967</v>
      </c>
      <c r="G274" t="s">
        <v>997</v>
      </c>
      <c r="H274" t="s">
        <v>1174</v>
      </c>
      <c r="K274" t="s">
        <v>1185</v>
      </c>
      <c r="N274">
        <f t="shared" si="30"/>
        <v>0</v>
      </c>
      <c r="R274" t="str">
        <f t="shared" si="31"/>
        <v xml:space="preserve"> </v>
      </c>
      <c r="V274" s="2">
        <f t="shared" si="36"/>
        <v>0</v>
      </c>
      <c r="W274" s="2"/>
      <c r="X274" s="2"/>
    </row>
    <row r="275" spans="2:24" x14ac:dyDescent="0.45">
      <c r="B275" t="s">
        <v>1019</v>
      </c>
      <c r="C275" t="str">
        <f t="shared" si="38"/>
        <v>NO5_Shipping_2030</v>
      </c>
      <c r="D275" t="s">
        <v>526</v>
      </c>
      <c r="E275">
        <v>2030</v>
      </c>
      <c r="F275" s="2">
        <v>124.82108516483514</v>
      </c>
      <c r="G275" t="s">
        <v>997</v>
      </c>
      <c r="H275" t="s">
        <v>1173</v>
      </c>
      <c r="K275" t="s">
        <v>1201</v>
      </c>
      <c r="N275">
        <f t="shared" si="30"/>
        <v>0</v>
      </c>
      <c r="R275" t="str">
        <f t="shared" si="31"/>
        <v xml:space="preserve">   </v>
      </c>
      <c r="V275" s="2">
        <f t="shared" si="36"/>
        <v>0</v>
      </c>
      <c r="W275" s="2"/>
      <c r="X275" s="2"/>
    </row>
    <row r="276" spans="2:24" x14ac:dyDescent="0.45">
      <c r="B276" t="s">
        <v>1019</v>
      </c>
      <c r="C276" t="str">
        <f t="shared" si="38"/>
        <v>NO5_Shipping_2040</v>
      </c>
      <c r="D276" t="s">
        <v>526</v>
      </c>
      <c r="E276">
        <v>2040</v>
      </c>
      <c r="F276" s="2">
        <v>137.83138736263734</v>
      </c>
      <c r="G276" t="s">
        <v>997</v>
      </c>
      <c r="H276" t="s">
        <v>1173</v>
      </c>
      <c r="K276" t="s">
        <v>1240</v>
      </c>
      <c r="L276">
        <v>2562320</v>
      </c>
      <c r="M276">
        <v>0.3</v>
      </c>
      <c r="N276">
        <f t="shared" si="30"/>
        <v>768696</v>
      </c>
      <c r="R276" t="str">
        <f t="shared" si="31"/>
        <v>NO2</v>
      </c>
      <c r="S276" t="str">
        <f t="shared" si="37"/>
        <v>NO2_Road</v>
      </c>
      <c r="T276" t="s">
        <v>526</v>
      </c>
      <c r="U276">
        <f t="shared" si="33"/>
        <v>2030</v>
      </c>
      <c r="V276" s="2">
        <f t="shared" si="36"/>
        <v>509.78331043956047</v>
      </c>
      <c r="W276" s="2">
        <f>N276*$O$260*$P$260/$Q$260</f>
        <v>864783</v>
      </c>
      <c r="X276" s="2">
        <f>VLOOKUP(_xlfn.TEXTJOIN("_",TRUE,S276,U276),$C$209:$F$307,4,FALSE)</f>
        <v>410.79258241758242</v>
      </c>
    </row>
    <row r="277" spans="2:24" x14ac:dyDescent="0.45">
      <c r="B277" t="s">
        <v>1019</v>
      </c>
      <c r="C277" t="str">
        <f t="shared" si="38"/>
        <v>NO5_Shipping_2050</v>
      </c>
      <c r="D277" t="s">
        <v>526</v>
      </c>
      <c r="E277">
        <v>2050</v>
      </c>
      <c r="F277" s="2">
        <v>145.07795329670333</v>
      </c>
      <c r="G277" t="s">
        <v>997</v>
      </c>
      <c r="H277" t="s">
        <v>1173</v>
      </c>
      <c r="K277" t="s">
        <v>1241</v>
      </c>
      <c r="L277">
        <v>4834810</v>
      </c>
      <c r="M277">
        <v>0.3</v>
      </c>
      <c r="N277">
        <f t="shared" si="30"/>
        <v>1450443</v>
      </c>
      <c r="R277" t="str">
        <f t="shared" si="31"/>
        <v>NO2</v>
      </c>
      <c r="S277" t="str">
        <f t="shared" si="37"/>
        <v>NO2_Road</v>
      </c>
      <c r="T277" t="s">
        <v>526</v>
      </c>
      <c r="U277">
        <f t="shared" si="33"/>
        <v>2040</v>
      </c>
      <c r="V277" s="2">
        <f t="shared" si="36"/>
        <v>220.26171875000006</v>
      </c>
      <c r="W277" s="2">
        <f>N277*$O$260*$P$260/$Q$260</f>
        <v>1631748.3750000002</v>
      </c>
      <c r="X277" s="2">
        <f>VLOOKUP(_xlfn.TEXTJOIN("_",TRUE,S277,U277),$C$209:$F$307,4,FALSE)</f>
        <v>33.477335164835168</v>
      </c>
    </row>
    <row r="278" spans="2:24" x14ac:dyDescent="0.45">
      <c r="B278" t="s">
        <v>1020</v>
      </c>
      <c r="C278" t="str">
        <f t="shared" si="38"/>
        <v>NO1_Jetfuel_2030</v>
      </c>
      <c r="D278" t="s">
        <v>526</v>
      </c>
      <c r="E278">
        <v>2030</v>
      </c>
      <c r="F278" s="2">
        <v>720.79945054945051</v>
      </c>
      <c r="G278" t="s">
        <v>997</v>
      </c>
      <c r="H278" t="s">
        <v>1175</v>
      </c>
      <c r="K278" t="s">
        <v>1242</v>
      </c>
      <c r="L278">
        <v>5783270</v>
      </c>
      <c r="M278">
        <v>0.3</v>
      </c>
      <c r="N278">
        <f t="shared" si="30"/>
        <v>1734981</v>
      </c>
      <c r="R278" t="str">
        <f t="shared" si="31"/>
        <v>NO2</v>
      </c>
      <c r="S278" t="str">
        <f t="shared" si="37"/>
        <v>NO2_Road</v>
      </c>
      <c r="T278" t="s">
        <v>526</v>
      </c>
      <c r="U278">
        <f t="shared" si="33"/>
        <v>2050</v>
      </c>
      <c r="V278" s="2">
        <f t="shared" si="36"/>
        <v>227.84233344780222</v>
      </c>
      <c r="W278" s="2">
        <f>N278*$O$260*$P$260/$Q$260</f>
        <v>1951853.6250000002</v>
      </c>
      <c r="X278" s="2">
        <f>VLOOKUP(_xlfn.TEXTJOIN("_",TRUE,S278,U278),$C$209:$F$307,4,FALSE)</f>
        <v>4.415865384615385</v>
      </c>
    </row>
    <row r="279" spans="2:24" x14ac:dyDescent="0.45">
      <c r="B279" t="s">
        <v>1020</v>
      </c>
      <c r="C279" t="str">
        <f t="shared" si="38"/>
        <v>NO1_Jetfuel_2040</v>
      </c>
      <c r="D279" t="s">
        <v>526</v>
      </c>
      <c r="E279">
        <v>2040</v>
      </c>
      <c r="F279" s="2">
        <v>636.63598901098896</v>
      </c>
      <c r="G279" t="s">
        <v>997</v>
      </c>
      <c r="H279" t="s">
        <v>1175</v>
      </c>
      <c r="K279" t="s">
        <v>1185</v>
      </c>
      <c r="N279">
        <f t="shared" ref="N279:N313" si="39">IF(ISNUMBER(M279),M279*L279,L279)</f>
        <v>0</v>
      </c>
      <c r="R279" t="str">
        <f t="shared" ref="R279:R313" si="40">MID(K279,13,3)</f>
        <v xml:space="preserve"> </v>
      </c>
      <c r="V279" s="2">
        <f t="shared" si="36"/>
        <v>0</v>
      </c>
      <c r="W279" s="2"/>
      <c r="X279" s="2"/>
    </row>
    <row r="280" spans="2:24" x14ac:dyDescent="0.45">
      <c r="B280" t="s">
        <v>1020</v>
      </c>
      <c r="C280" t="str">
        <f t="shared" si="38"/>
        <v>NO1_Jetfuel_2050</v>
      </c>
      <c r="D280" t="s">
        <v>526</v>
      </c>
      <c r="E280">
        <v>2050</v>
      </c>
      <c r="F280" s="2">
        <v>225.36881868131866</v>
      </c>
      <c r="G280" t="s">
        <v>997</v>
      </c>
      <c r="H280" t="s">
        <v>1175</v>
      </c>
      <c r="K280" t="s">
        <v>1202</v>
      </c>
      <c r="N280">
        <f t="shared" si="39"/>
        <v>0</v>
      </c>
      <c r="R280" t="str">
        <f t="shared" si="40"/>
        <v xml:space="preserve">   </v>
      </c>
      <c r="V280" s="2">
        <f t="shared" si="36"/>
        <v>0</v>
      </c>
      <c r="W280" s="2"/>
      <c r="X280" s="2"/>
    </row>
    <row r="281" spans="2:24" x14ac:dyDescent="0.45">
      <c r="B281" t="s">
        <v>1021</v>
      </c>
      <c r="C281" t="str">
        <f t="shared" si="38"/>
        <v>NO2_Jetfuel_2030</v>
      </c>
      <c r="D281" t="s">
        <v>526</v>
      </c>
      <c r="E281">
        <v>2030</v>
      </c>
      <c r="F281" s="2">
        <v>240.2664835164835</v>
      </c>
      <c r="G281" t="s">
        <v>997</v>
      </c>
      <c r="H281" t="s">
        <v>1175</v>
      </c>
      <c r="K281" t="s">
        <v>1243</v>
      </c>
      <c r="L281">
        <v>475320</v>
      </c>
      <c r="M281">
        <v>0.5</v>
      </c>
      <c r="N281">
        <f t="shared" si="39"/>
        <v>237660</v>
      </c>
      <c r="R281" t="str">
        <f t="shared" si="40"/>
        <v>NO3</v>
      </c>
      <c r="S281" t="str">
        <f t="shared" si="37"/>
        <v>NO3_Road</v>
      </c>
      <c r="T281" t="s">
        <v>526</v>
      </c>
      <c r="U281">
        <f t="shared" ref="U281:U313" si="41">_xlfn.NUMBERVALUE(MID(K281,5,4))</f>
        <v>2030</v>
      </c>
      <c r="V281" s="2">
        <f t="shared" si="36"/>
        <v>232.38524496336996</v>
      </c>
      <c r="W281" s="2">
        <f>N281*$O$260*$P$260/$Q$260</f>
        <v>267367.5</v>
      </c>
      <c r="X281" s="2">
        <f>VLOOKUP(_xlfn.TEXTJOIN("_",TRUE,S281,U281),$C$209:$F$307,4,FALSE)</f>
        <v>201.77999084249083</v>
      </c>
    </row>
    <row r="282" spans="2:24" x14ac:dyDescent="0.45">
      <c r="B282" t="s">
        <v>1021</v>
      </c>
      <c r="C282" t="str">
        <f t="shared" si="38"/>
        <v>NO2_Jetfuel_2040</v>
      </c>
      <c r="D282" t="s">
        <v>526</v>
      </c>
      <c r="E282">
        <v>2040</v>
      </c>
      <c r="F282" s="2">
        <v>212.21199633699635</v>
      </c>
      <c r="G282" t="s">
        <v>997</v>
      </c>
      <c r="H282" t="s">
        <v>1175</v>
      </c>
      <c r="K282" t="s">
        <v>1244</v>
      </c>
      <c r="L282">
        <v>1342990</v>
      </c>
      <c r="M282">
        <v>0.5</v>
      </c>
      <c r="N282">
        <f t="shared" si="39"/>
        <v>671495</v>
      </c>
      <c r="R282" t="str">
        <f t="shared" si="40"/>
        <v>NO3</v>
      </c>
      <c r="S282" t="str">
        <f t="shared" si="37"/>
        <v>NO3_Road</v>
      </c>
      <c r="T282" t="s">
        <v>526</v>
      </c>
      <c r="U282">
        <f t="shared" si="41"/>
        <v>2040</v>
      </c>
      <c r="V282" s="2">
        <f t="shared" si="36"/>
        <v>125.64581902472528</v>
      </c>
      <c r="W282" s="2">
        <f>N282*$O$260*$P$260/$Q$260</f>
        <v>755431.87500000012</v>
      </c>
      <c r="X282" s="2">
        <f>VLOOKUP(_xlfn.TEXTJOIN("_",TRUE,S282,U282),$C$209:$F$307,4,FALSE)</f>
        <v>39.172390109890102</v>
      </c>
    </row>
    <row r="283" spans="2:24" x14ac:dyDescent="0.45">
      <c r="B283" t="s">
        <v>1021</v>
      </c>
      <c r="C283" t="str">
        <f t="shared" si="38"/>
        <v>NO2_Jetfuel_2050</v>
      </c>
      <c r="D283" t="s">
        <v>526</v>
      </c>
      <c r="E283">
        <v>2050</v>
      </c>
      <c r="F283" s="2">
        <v>75.122939560439562</v>
      </c>
      <c r="G283" t="s">
        <v>997</v>
      </c>
      <c r="H283" t="s">
        <v>1175</v>
      </c>
      <c r="K283" t="s">
        <v>1245</v>
      </c>
      <c r="L283">
        <v>1753700</v>
      </c>
      <c r="M283">
        <v>0.5</v>
      </c>
      <c r="N283">
        <f t="shared" si="39"/>
        <v>876850</v>
      </c>
      <c r="R283" t="str">
        <f t="shared" si="40"/>
        <v>NO3</v>
      </c>
      <c r="S283" t="str">
        <f t="shared" si="37"/>
        <v>NO3_Road</v>
      </c>
      <c r="T283" t="s">
        <v>526</v>
      </c>
      <c r="U283">
        <f t="shared" si="41"/>
        <v>2050</v>
      </c>
      <c r="V283" s="2">
        <f t="shared" si="36"/>
        <v>115.39219894688645</v>
      </c>
      <c r="W283" s="2">
        <f>N283*$O$260*$P$260/$Q$260</f>
        <v>986456.25</v>
      </c>
      <c r="X283" s="2">
        <f>VLOOKUP(_xlfn.TEXTJOIN("_",TRUE,S283,U283),$C$209:$F$307,4,FALSE)</f>
        <v>2.4736721611721606</v>
      </c>
    </row>
    <row r="284" spans="2:24" x14ac:dyDescent="0.45">
      <c r="B284" t="s">
        <v>1022</v>
      </c>
      <c r="C284" t="str">
        <f t="shared" si="38"/>
        <v>NO3_Jetfuel_2030</v>
      </c>
      <c r="D284" t="s">
        <v>526</v>
      </c>
      <c r="E284">
        <v>2030</v>
      </c>
      <c r="F284" s="2">
        <v>111.43143315018315</v>
      </c>
      <c r="G284" t="s">
        <v>997</v>
      </c>
      <c r="H284" t="s">
        <v>1174</v>
      </c>
      <c r="K284" t="s">
        <v>1185</v>
      </c>
      <c r="N284">
        <f t="shared" si="39"/>
        <v>0</v>
      </c>
      <c r="R284" t="str">
        <f t="shared" si="40"/>
        <v xml:space="preserve"> </v>
      </c>
      <c r="V284" s="2">
        <f t="shared" si="36"/>
        <v>0</v>
      </c>
      <c r="W284" s="2"/>
      <c r="X284" s="2"/>
    </row>
    <row r="285" spans="2:24" x14ac:dyDescent="0.45">
      <c r="B285" t="s">
        <v>1022</v>
      </c>
      <c r="C285" t="str">
        <f t="shared" si="38"/>
        <v>NO3_Jetfuel_2040</v>
      </c>
      <c r="D285" t="s">
        <v>526</v>
      </c>
      <c r="E285">
        <v>2040</v>
      </c>
      <c r="F285" s="2">
        <v>126.28434065934066</v>
      </c>
      <c r="G285" t="s">
        <v>997</v>
      </c>
      <c r="H285" t="s">
        <v>1174</v>
      </c>
      <c r="K285" t="s">
        <v>1203</v>
      </c>
      <c r="N285">
        <f t="shared" si="39"/>
        <v>0</v>
      </c>
      <c r="R285" t="str">
        <f t="shared" si="40"/>
        <v xml:space="preserve">   </v>
      </c>
      <c r="V285" s="2">
        <f t="shared" si="36"/>
        <v>0</v>
      </c>
      <c r="W285" s="2"/>
      <c r="X285" s="2"/>
    </row>
    <row r="286" spans="2:24" x14ac:dyDescent="0.45">
      <c r="B286" t="s">
        <v>1022</v>
      </c>
      <c r="C286" t="str">
        <f t="shared" si="38"/>
        <v>NO3_Jetfuel_2050</v>
      </c>
      <c r="D286" t="s">
        <v>526</v>
      </c>
      <c r="E286">
        <v>2050</v>
      </c>
      <c r="F286" s="2">
        <v>39.179258241758241</v>
      </c>
      <c r="G286" t="s">
        <v>997</v>
      </c>
      <c r="H286" t="s">
        <v>1174</v>
      </c>
      <c r="K286" t="s">
        <v>1246</v>
      </c>
      <c r="L286">
        <v>475320</v>
      </c>
      <c r="M286">
        <v>0.5</v>
      </c>
      <c r="N286">
        <f t="shared" si="39"/>
        <v>237660</v>
      </c>
      <c r="R286" t="str">
        <f t="shared" si="40"/>
        <v>NO4</v>
      </c>
      <c r="S286" t="str">
        <f t="shared" si="37"/>
        <v>NO4_Road</v>
      </c>
      <c r="T286" t="s">
        <v>526</v>
      </c>
      <c r="U286">
        <f t="shared" si="41"/>
        <v>2030</v>
      </c>
      <c r="V286" s="2">
        <f t="shared" si="36"/>
        <v>232.38524496336996</v>
      </c>
      <c r="W286" s="2">
        <f>N286*$O$260*$P$260/$Q$260</f>
        <v>267367.5</v>
      </c>
      <c r="X286" s="2">
        <f>VLOOKUP(_xlfn.TEXTJOIN("_",TRUE,S286,U286),$C$209:$F$307,4,FALSE)</f>
        <v>201.77999084249083</v>
      </c>
    </row>
    <row r="287" spans="2:24" x14ac:dyDescent="0.45">
      <c r="B287" t="s">
        <v>1023</v>
      </c>
      <c r="C287" t="str">
        <f t="shared" si="38"/>
        <v>NO4_Jetfuel_2030</v>
      </c>
      <c r="D287" t="s">
        <v>526</v>
      </c>
      <c r="E287">
        <v>2030</v>
      </c>
      <c r="F287" s="2">
        <v>111.43143315018315</v>
      </c>
      <c r="G287" t="s">
        <v>997</v>
      </c>
      <c r="H287" t="s">
        <v>1174</v>
      </c>
      <c r="K287" t="s">
        <v>1247</v>
      </c>
      <c r="L287">
        <v>1342990</v>
      </c>
      <c r="M287">
        <v>0.5</v>
      </c>
      <c r="N287">
        <f t="shared" si="39"/>
        <v>671495</v>
      </c>
      <c r="R287" t="str">
        <f t="shared" si="40"/>
        <v>NO4</v>
      </c>
      <c r="S287" t="str">
        <f t="shared" si="37"/>
        <v>NO4_Road</v>
      </c>
      <c r="T287" t="s">
        <v>526</v>
      </c>
      <c r="U287">
        <f t="shared" si="41"/>
        <v>2040</v>
      </c>
      <c r="V287" s="2">
        <f t="shared" ref="V287:V313" si="42">W287/8736+X287</f>
        <v>125.64581902472528</v>
      </c>
      <c r="W287" s="2">
        <f>N287*$O$260*$P$260/$Q$260</f>
        <v>755431.87500000012</v>
      </c>
      <c r="X287" s="2">
        <f>VLOOKUP(_xlfn.TEXTJOIN("_",TRUE,S287,U287),$C$209:$F$307,4,FALSE)</f>
        <v>39.172390109890102</v>
      </c>
    </row>
    <row r="288" spans="2:24" x14ac:dyDescent="0.45">
      <c r="B288" t="s">
        <v>1023</v>
      </c>
      <c r="C288" t="str">
        <f t="shared" si="38"/>
        <v>NO4_Jetfuel_2040</v>
      </c>
      <c r="D288" t="s">
        <v>526</v>
      </c>
      <c r="E288">
        <v>2040</v>
      </c>
      <c r="F288" s="2">
        <v>126.28434065934066</v>
      </c>
      <c r="G288" t="s">
        <v>997</v>
      </c>
      <c r="H288" t="s">
        <v>1174</v>
      </c>
      <c r="K288" t="s">
        <v>1248</v>
      </c>
      <c r="L288">
        <v>1753700</v>
      </c>
      <c r="M288">
        <v>0.5</v>
      </c>
      <c r="N288">
        <f t="shared" si="39"/>
        <v>876850</v>
      </c>
      <c r="R288" t="str">
        <f t="shared" si="40"/>
        <v>NO4</v>
      </c>
      <c r="S288" t="str">
        <f t="shared" si="37"/>
        <v>NO4_Road</v>
      </c>
      <c r="T288" t="s">
        <v>526</v>
      </c>
      <c r="U288">
        <f t="shared" si="41"/>
        <v>2050</v>
      </c>
      <c r="V288" s="2">
        <f t="shared" si="42"/>
        <v>115.39219894688645</v>
      </c>
      <c r="W288" s="2">
        <f>N288*$O$260*$P$260/$Q$260</f>
        <v>986456.25</v>
      </c>
      <c r="X288" s="2">
        <f>VLOOKUP(_xlfn.TEXTJOIN("_",TRUE,S288,U288),$C$209:$F$307,4,FALSE)</f>
        <v>2.4736721611721606</v>
      </c>
    </row>
    <row r="289" spans="2:24" x14ac:dyDescent="0.45">
      <c r="B289" t="s">
        <v>1023</v>
      </c>
      <c r="C289" t="str">
        <f t="shared" si="38"/>
        <v>NO4_Jetfuel_2050</v>
      </c>
      <c r="D289" t="s">
        <v>526</v>
      </c>
      <c r="E289">
        <v>2050</v>
      </c>
      <c r="F289" s="2">
        <v>39.179258241758241</v>
      </c>
      <c r="G289" t="s">
        <v>997</v>
      </c>
      <c r="H289" t="s">
        <v>1174</v>
      </c>
      <c r="K289" t="s">
        <v>1189</v>
      </c>
      <c r="N289">
        <f t="shared" si="39"/>
        <v>0</v>
      </c>
      <c r="R289" t="str">
        <f t="shared" si="40"/>
        <v/>
      </c>
      <c r="V289" s="2">
        <f t="shared" si="42"/>
        <v>0</v>
      </c>
      <c r="W289" s="2"/>
      <c r="X289" s="2"/>
    </row>
    <row r="290" spans="2:24" x14ac:dyDescent="0.45">
      <c r="B290" t="s">
        <v>1024</v>
      </c>
      <c r="C290" t="str">
        <f t="shared" si="38"/>
        <v>NO5_Jetfuel_2030</v>
      </c>
      <c r="D290" t="s">
        <v>526</v>
      </c>
      <c r="E290">
        <v>2030</v>
      </c>
      <c r="F290" s="2">
        <v>240.2664835164835</v>
      </c>
      <c r="G290" t="s">
        <v>997</v>
      </c>
      <c r="H290" t="s">
        <v>1175</v>
      </c>
      <c r="K290" t="s">
        <v>1204</v>
      </c>
      <c r="N290">
        <f t="shared" si="39"/>
        <v>0</v>
      </c>
      <c r="R290" t="str">
        <f t="shared" si="40"/>
        <v xml:space="preserve">   </v>
      </c>
      <c r="V290" s="2">
        <f t="shared" si="42"/>
        <v>0</v>
      </c>
      <c r="W290" s="2"/>
      <c r="X290" s="2"/>
    </row>
    <row r="291" spans="2:24" x14ac:dyDescent="0.45">
      <c r="B291" t="s">
        <v>1024</v>
      </c>
      <c r="C291" t="str">
        <f t="shared" si="38"/>
        <v>NO5_Jetfuel_2040</v>
      </c>
      <c r="D291" t="s">
        <v>526</v>
      </c>
      <c r="E291">
        <v>2040</v>
      </c>
      <c r="F291" s="2">
        <v>212.21199633699635</v>
      </c>
      <c r="G291" t="s">
        <v>997</v>
      </c>
      <c r="H291" t="s">
        <v>1175</v>
      </c>
      <c r="K291" t="s">
        <v>1249</v>
      </c>
      <c r="L291">
        <v>2562320</v>
      </c>
      <c r="M291">
        <v>0.3</v>
      </c>
      <c r="N291">
        <f t="shared" si="39"/>
        <v>768696</v>
      </c>
      <c r="R291" t="str">
        <f t="shared" si="40"/>
        <v>NO5</v>
      </c>
      <c r="S291" t="str">
        <f t="shared" si="37"/>
        <v>NO5_Road</v>
      </c>
      <c r="T291" t="s">
        <v>526</v>
      </c>
      <c r="U291">
        <f t="shared" si="41"/>
        <v>2030</v>
      </c>
      <c r="V291" s="2">
        <f t="shared" si="42"/>
        <v>509.78331043956047</v>
      </c>
      <c r="W291" s="2">
        <f>N291*$O$260*$P$260/$Q$260</f>
        <v>864783</v>
      </c>
      <c r="X291" s="2">
        <f>VLOOKUP(_xlfn.TEXTJOIN("_",TRUE,S291,U291),$C$209:$F$307,4,FALSE)</f>
        <v>410.79258241758242</v>
      </c>
    </row>
    <row r="292" spans="2:24" x14ac:dyDescent="0.45">
      <c r="B292" t="s">
        <v>1024</v>
      </c>
      <c r="C292" t="str">
        <f t="shared" si="38"/>
        <v>NO5_Jetfuel_2050</v>
      </c>
      <c r="D292" t="s">
        <v>526</v>
      </c>
      <c r="E292">
        <v>2050</v>
      </c>
      <c r="F292" s="2">
        <v>75.122939560439562</v>
      </c>
      <c r="G292" t="s">
        <v>997</v>
      </c>
      <c r="H292" t="s">
        <v>1175</v>
      </c>
      <c r="K292" t="s">
        <v>1250</v>
      </c>
      <c r="L292">
        <v>4834810</v>
      </c>
      <c r="M292">
        <v>0.3</v>
      </c>
      <c r="N292">
        <f t="shared" si="39"/>
        <v>1450443</v>
      </c>
      <c r="R292" t="str">
        <f t="shared" si="40"/>
        <v>NO5</v>
      </c>
      <c r="S292" t="str">
        <f t="shared" si="37"/>
        <v>NO5_Road</v>
      </c>
      <c r="T292" t="s">
        <v>526</v>
      </c>
      <c r="U292">
        <f t="shared" si="41"/>
        <v>2040</v>
      </c>
      <c r="V292" s="2">
        <f t="shared" si="42"/>
        <v>220.26171875000006</v>
      </c>
      <c r="W292" s="2">
        <f>N292*$O$260*$P$260/$Q$260</f>
        <v>1631748.3750000002</v>
      </c>
      <c r="X292" s="2">
        <f>VLOOKUP(_xlfn.TEXTJOIN("_",TRUE,S292,U292),$C$209:$F$307,4,FALSE)</f>
        <v>33.477335164835168</v>
      </c>
    </row>
    <row r="293" spans="2:24" x14ac:dyDescent="0.45">
      <c r="B293" t="s">
        <v>1025</v>
      </c>
      <c r="C293" t="str">
        <f t="shared" si="38"/>
        <v>NO1_Road_2030</v>
      </c>
      <c r="D293" t="s">
        <v>526</v>
      </c>
      <c r="E293">
        <v>2030</v>
      </c>
      <c r="F293" s="2">
        <v>547.72344322344327</v>
      </c>
      <c r="G293" t="s">
        <v>997</v>
      </c>
      <c r="H293" t="s">
        <v>1173</v>
      </c>
      <c r="K293" t="s">
        <v>1251</v>
      </c>
      <c r="L293">
        <v>5783270</v>
      </c>
      <c r="M293">
        <v>0.3</v>
      </c>
      <c r="N293">
        <f t="shared" si="39"/>
        <v>1734981</v>
      </c>
      <c r="R293" t="str">
        <f t="shared" si="40"/>
        <v>NO5</v>
      </c>
      <c r="S293" t="str">
        <f t="shared" si="37"/>
        <v>NO5_Road</v>
      </c>
      <c r="T293" t="s">
        <v>526</v>
      </c>
      <c r="U293">
        <f t="shared" si="41"/>
        <v>2050</v>
      </c>
      <c r="V293" s="2">
        <f t="shared" si="42"/>
        <v>227.84233344780222</v>
      </c>
      <c r="W293" s="2">
        <f>N293*$O$260*$P$260/$Q$260</f>
        <v>1951853.6250000002</v>
      </c>
      <c r="X293" s="2">
        <f>VLOOKUP(_xlfn.TEXTJOIN("_",TRUE,S293,U293),$C$209:$F$307,4,FALSE)</f>
        <v>4.415865384615385</v>
      </c>
    </row>
    <row r="294" spans="2:24" x14ac:dyDescent="0.45">
      <c r="B294" t="s">
        <v>1025</v>
      </c>
      <c r="C294" t="str">
        <f t="shared" si="38"/>
        <v>NO1_Road_2040</v>
      </c>
      <c r="D294" t="s">
        <v>526</v>
      </c>
      <c r="E294">
        <v>2040</v>
      </c>
      <c r="F294" s="2">
        <v>44.63644688644689</v>
      </c>
      <c r="G294" t="s">
        <v>997</v>
      </c>
      <c r="H294" t="s">
        <v>1173</v>
      </c>
      <c r="K294" t="s">
        <v>1191</v>
      </c>
      <c r="N294">
        <f t="shared" si="39"/>
        <v>0</v>
      </c>
      <c r="R294" t="str">
        <f t="shared" si="40"/>
        <v xml:space="preserve">   </v>
      </c>
      <c r="V294" s="2">
        <f t="shared" si="42"/>
        <v>0</v>
      </c>
      <c r="W294" s="2"/>
      <c r="X294" s="2"/>
    </row>
    <row r="295" spans="2:24" x14ac:dyDescent="0.45">
      <c r="B295" t="s">
        <v>1025</v>
      </c>
      <c r="C295" t="str">
        <f t="shared" si="38"/>
        <v>NO1_Road_2050</v>
      </c>
      <c r="D295" t="s">
        <v>526</v>
      </c>
      <c r="E295">
        <v>2050</v>
      </c>
      <c r="F295" s="2">
        <v>5.8878205128205146</v>
      </c>
      <c r="G295" t="s">
        <v>997</v>
      </c>
      <c r="H295" t="s">
        <v>1173</v>
      </c>
      <c r="K295" t="s">
        <v>1205</v>
      </c>
      <c r="N295">
        <f t="shared" si="39"/>
        <v>0</v>
      </c>
      <c r="R295" t="str">
        <f t="shared" si="40"/>
        <v xml:space="preserve">   </v>
      </c>
      <c r="V295" s="2">
        <f t="shared" si="42"/>
        <v>0</v>
      </c>
      <c r="W295" s="2"/>
      <c r="X295" s="2"/>
    </row>
    <row r="296" spans="2:24" x14ac:dyDescent="0.45">
      <c r="B296" t="s">
        <v>1026</v>
      </c>
      <c r="C296" t="str">
        <f t="shared" si="38"/>
        <v>NO2_Road_2030</v>
      </c>
      <c r="D296" t="s">
        <v>526</v>
      </c>
      <c r="E296">
        <v>2030</v>
      </c>
      <c r="F296" s="2">
        <v>410.79258241758242</v>
      </c>
      <c r="G296" t="s">
        <v>997</v>
      </c>
      <c r="H296" t="s">
        <v>1173</v>
      </c>
      <c r="K296" t="s">
        <v>1252</v>
      </c>
      <c r="L296">
        <v>126960</v>
      </c>
      <c r="N296">
        <f t="shared" si="39"/>
        <v>126960</v>
      </c>
      <c r="R296" t="str">
        <f t="shared" si="40"/>
        <v>SE1</v>
      </c>
      <c r="S296" t="str">
        <f t="shared" si="37"/>
        <v>SE1_Road</v>
      </c>
      <c r="T296" t="s">
        <v>526</v>
      </c>
      <c r="U296">
        <f t="shared" si="41"/>
        <v>2030</v>
      </c>
      <c r="V296" s="2">
        <f t="shared" si="42"/>
        <v>157.15201465201463</v>
      </c>
      <c r="W296" s="2">
        <f>N296*$O$260*$P$260/$Q$260</f>
        <v>142830</v>
      </c>
      <c r="X296" s="2">
        <f>VLOOKUP(_xlfn.TEXTJOIN("_",TRUE,S296,U296),$C$209:$F$307,4,FALSE)</f>
        <v>140.80242673992672</v>
      </c>
    </row>
    <row r="297" spans="2:24" x14ac:dyDescent="0.45">
      <c r="B297" t="s">
        <v>1026</v>
      </c>
      <c r="C297" t="str">
        <f t="shared" si="38"/>
        <v>NO2_Road_2040</v>
      </c>
      <c r="D297" t="s">
        <v>526</v>
      </c>
      <c r="E297">
        <v>2040</v>
      </c>
      <c r="F297" s="2">
        <v>33.477335164835168</v>
      </c>
      <c r="G297" t="s">
        <v>997</v>
      </c>
      <c r="H297" t="s">
        <v>1173</v>
      </c>
      <c r="K297" t="s">
        <v>1253</v>
      </c>
      <c r="L297">
        <v>413230</v>
      </c>
      <c r="N297">
        <f t="shared" si="39"/>
        <v>413230</v>
      </c>
      <c r="R297" t="str">
        <f t="shared" si="40"/>
        <v>SE1</v>
      </c>
      <c r="S297" t="str">
        <f t="shared" si="37"/>
        <v>SE1_Road</v>
      </c>
      <c r="T297" t="s">
        <v>526</v>
      </c>
      <c r="U297">
        <f t="shared" si="41"/>
        <v>2040</v>
      </c>
      <c r="V297" s="2">
        <f t="shared" si="42"/>
        <v>71.660227793040292</v>
      </c>
      <c r="W297" s="2">
        <f>N297*$O$260*$P$260/$Q$260</f>
        <v>464883.75000000006</v>
      </c>
      <c r="X297" s="2">
        <f>VLOOKUP(_xlfn.TEXTJOIN("_",TRUE,S297,U297),$C$209:$F$307,4,FALSE)</f>
        <v>18.445512820512818</v>
      </c>
    </row>
    <row r="298" spans="2:24" x14ac:dyDescent="0.45">
      <c r="B298" t="s">
        <v>1026</v>
      </c>
      <c r="C298" t="str">
        <f t="shared" si="38"/>
        <v>NO2_Road_2050</v>
      </c>
      <c r="D298" t="s">
        <v>526</v>
      </c>
      <c r="E298">
        <v>2050</v>
      </c>
      <c r="F298" s="2">
        <v>4.415865384615385</v>
      </c>
      <c r="G298" t="s">
        <v>997</v>
      </c>
      <c r="H298" t="s">
        <v>1173</v>
      </c>
      <c r="K298" t="s">
        <v>1254</v>
      </c>
      <c r="L298">
        <v>519870</v>
      </c>
      <c r="N298">
        <f t="shared" si="39"/>
        <v>519870</v>
      </c>
      <c r="R298" t="str">
        <f t="shared" si="40"/>
        <v>SE1</v>
      </c>
      <c r="S298" t="str">
        <f t="shared" si="37"/>
        <v>SE1_Road</v>
      </c>
      <c r="T298" t="s">
        <v>526</v>
      </c>
      <c r="U298">
        <f t="shared" si="41"/>
        <v>2050</v>
      </c>
      <c r="V298" s="2">
        <f t="shared" si="42"/>
        <v>69.032022664835154</v>
      </c>
      <c r="W298" s="2">
        <f>N298*$O$260*$P$260/$Q$260</f>
        <v>584853.75</v>
      </c>
      <c r="X298" s="2">
        <f>VLOOKUP(_xlfn.TEXTJOIN("_",TRUE,S298,U298),$C$209:$F$307,4,FALSE)</f>
        <v>2.0844780219780219</v>
      </c>
    </row>
    <row r="299" spans="2:24" x14ac:dyDescent="0.45">
      <c r="B299" t="s">
        <v>1027</v>
      </c>
      <c r="C299" t="str">
        <f t="shared" si="38"/>
        <v>NO3_Road_2030</v>
      </c>
      <c r="D299" t="s">
        <v>526</v>
      </c>
      <c r="E299">
        <v>2030</v>
      </c>
      <c r="F299" s="2">
        <v>201.77999084249083</v>
      </c>
      <c r="G299" t="s">
        <v>997</v>
      </c>
      <c r="H299" t="s">
        <v>1174</v>
      </c>
      <c r="K299" t="s">
        <v>1193</v>
      </c>
      <c r="N299">
        <f t="shared" si="39"/>
        <v>0</v>
      </c>
      <c r="R299" t="str">
        <f t="shared" si="40"/>
        <v xml:space="preserve">   </v>
      </c>
      <c r="V299" s="2">
        <f t="shared" si="42"/>
        <v>0</v>
      </c>
      <c r="W299" s="2"/>
      <c r="X299" s="2"/>
    </row>
    <row r="300" spans="2:24" x14ac:dyDescent="0.45">
      <c r="B300" t="s">
        <v>1027</v>
      </c>
      <c r="C300" t="str">
        <f t="shared" si="38"/>
        <v>NO3_Road_2040</v>
      </c>
      <c r="D300" t="s">
        <v>526</v>
      </c>
      <c r="E300">
        <v>2040</v>
      </c>
      <c r="F300" s="2">
        <v>39.172390109890102</v>
      </c>
      <c r="G300" t="s">
        <v>997</v>
      </c>
      <c r="H300" t="s">
        <v>1174</v>
      </c>
      <c r="K300" t="s">
        <v>1206</v>
      </c>
      <c r="N300">
        <f t="shared" si="39"/>
        <v>0</v>
      </c>
      <c r="R300" t="str">
        <f t="shared" si="40"/>
        <v xml:space="preserve">   </v>
      </c>
      <c r="V300" s="2">
        <f t="shared" si="42"/>
        <v>0</v>
      </c>
      <c r="W300" s="2"/>
      <c r="X300" s="2"/>
    </row>
    <row r="301" spans="2:24" x14ac:dyDescent="0.45">
      <c r="B301" t="s">
        <v>1027</v>
      </c>
      <c r="C301" t="str">
        <f t="shared" si="38"/>
        <v>NO3_Road_2050</v>
      </c>
      <c r="D301" t="s">
        <v>526</v>
      </c>
      <c r="E301">
        <v>2050</v>
      </c>
      <c r="F301" s="2">
        <v>2.4736721611721606</v>
      </c>
      <c r="G301" t="s">
        <v>997</v>
      </c>
      <c r="H301" t="s">
        <v>1174</v>
      </c>
      <c r="K301" t="s">
        <v>1255</v>
      </c>
      <c r="L301">
        <v>303850</v>
      </c>
      <c r="N301">
        <f t="shared" si="39"/>
        <v>303850</v>
      </c>
      <c r="R301" t="str">
        <f t="shared" si="40"/>
        <v>SE2</v>
      </c>
      <c r="S301" t="str">
        <f t="shared" si="37"/>
        <v>SE2_Road</v>
      </c>
      <c r="T301" t="s">
        <v>526</v>
      </c>
      <c r="U301">
        <f t="shared" si="41"/>
        <v>2030</v>
      </c>
      <c r="V301" s="2">
        <f t="shared" si="42"/>
        <v>382.53677312271066</v>
      </c>
      <c r="W301" s="2">
        <f>N301*$O$260*$P$260/$Q$260</f>
        <v>341831.25000000006</v>
      </c>
      <c r="X301" s="2">
        <f>VLOOKUP(_xlfn.TEXTJOIN("_",TRUE,S301,U301),$C$209:$F$307,4,FALSE)</f>
        <v>343.40773809523813</v>
      </c>
    </row>
    <row r="302" spans="2:24" x14ac:dyDescent="0.45">
      <c r="B302" t="s">
        <v>1028</v>
      </c>
      <c r="C302" t="str">
        <f t="shared" si="38"/>
        <v>NO4_Road_2030</v>
      </c>
      <c r="D302" t="s">
        <v>526</v>
      </c>
      <c r="E302">
        <v>2030</v>
      </c>
      <c r="F302" s="2">
        <v>201.77999084249083</v>
      </c>
      <c r="G302" t="s">
        <v>997</v>
      </c>
      <c r="H302" t="s">
        <v>1174</v>
      </c>
      <c r="K302" t="s">
        <v>1256</v>
      </c>
      <c r="L302">
        <v>978630</v>
      </c>
      <c r="N302">
        <f t="shared" si="39"/>
        <v>978630</v>
      </c>
      <c r="R302" t="str">
        <f t="shared" si="40"/>
        <v>SE2</v>
      </c>
      <c r="S302" t="str">
        <f t="shared" si="37"/>
        <v>SE2_Road</v>
      </c>
      <c r="T302" t="s">
        <v>526</v>
      </c>
      <c r="U302">
        <f t="shared" si="41"/>
        <v>2040</v>
      </c>
      <c r="V302" s="2">
        <f t="shared" si="42"/>
        <v>169.87165178571428</v>
      </c>
      <c r="W302" s="2">
        <f>N302*$O$260*$P$260/$Q$260</f>
        <v>1100958.75</v>
      </c>
      <c r="X302" s="2">
        <f>VLOOKUP(_xlfn.TEXTJOIN("_",TRUE,S302,U302),$C$209:$F$307,4,FALSE)</f>
        <v>43.846153846153847</v>
      </c>
    </row>
    <row r="303" spans="2:24" x14ac:dyDescent="0.45">
      <c r="B303" t="s">
        <v>1028</v>
      </c>
      <c r="C303" t="str">
        <f t="shared" si="38"/>
        <v>NO4_Road_2040</v>
      </c>
      <c r="D303" t="s">
        <v>526</v>
      </c>
      <c r="E303">
        <v>2040</v>
      </c>
      <c r="F303" s="2">
        <v>39.172390109890102</v>
      </c>
      <c r="G303" t="s">
        <v>997</v>
      </c>
      <c r="H303" t="s">
        <v>1174</v>
      </c>
      <c r="K303" t="s">
        <v>1257</v>
      </c>
      <c r="L303">
        <v>1239060</v>
      </c>
      <c r="N303">
        <f t="shared" si="39"/>
        <v>1239060</v>
      </c>
      <c r="R303" t="str">
        <f t="shared" si="40"/>
        <v>SE2</v>
      </c>
      <c r="S303" t="str">
        <f t="shared" si="37"/>
        <v>SE2_Road</v>
      </c>
      <c r="T303" t="s">
        <v>526</v>
      </c>
      <c r="U303">
        <f t="shared" si="41"/>
        <v>2050</v>
      </c>
      <c r="V303" s="2">
        <f t="shared" si="42"/>
        <v>163.97693452380955</v>
      </c>
      <c r="W303" s="2">
        <f>N303*$O$260*$P$260/$Q$260</f>
        <v>1393942.5000000002</v>
      </c>
      <c r="X303" s="2">
        <f>VLOOKUP(_xlfn.TEXTJOIN("_",TRUE,S303,U303),$C$209:$F$307,4,FALSE)</f>
        <v>4.4139194139194151</v>
      </c>
    </row>
    <row r="304" spans="2:24" x14ac:dyDescent="0.45">
      <c r="B304" t="s">
        <v>1028</v>
      </c>
      <c r="C304" t="str">
        <f t="shared" si="38"/>
        <v>NO4_Road_2050</v>
      </c>
      <c r="D304" t="s">
        <v>526</v>
      </c>
      <c r="E304">
        <v>2050</v>
      </c>
      <c r="F304" s="2">
        <v>2.4736721611721606</v>
      </c>
      <c r="G304" t="s">
        <v>997</v>
      </c>
      <c r="H304" t="s">
        <v>1174</v>
      </c>
      <c r="K304" t="s">
        <v>1183</v>
      </c>
      <c r="N304">
        <f t="shared" si="39"/>
        <v>0</v>
      </c>
      <c r="R304" t="str">
        <f t="shared" si="40"/>
        <v xml:space="preserve">  </v>
      </c>
      <c r="V304" s="2">
        <f t="shared" si="42"/>
        <v>0</v>
      </c>
      <c r="W304" s="2"/>
      <c r="X304" s="2"/>
    </row>
    <row r="305" spans="2:24" x14ac:dyDescent="0.45">
      <c r="B305" t="s">
        <v>1029</v>
      </c>
      <c r="C305" t="str">
        <f t="shared" si="38"/>
        <v>NO5_Road_2030</v>
      </c>
      <c r="D305" t="s">
        <v>526</v>
      </c>
      <c r="E305">
        <v>2030</v>
      </c>
      <c r="F305" s="2">
        <v>410.79258241758242</v>
      </c>
      <c r="G305" t="s">
        <v>997</v>
      </c>
      <c r="H305" t="s">
        <v>1173</v>
      </c>
      <c r="K305" t="s">
        <v>1207</v>
      </c>
      <c r="N305">
        <f t="shared" si="39"/>
        <v>0</v>
      </c>
      <c r="R305" t="str">
        <f t="shared" si="40"/>
        <v xml:space="preserve">   </v>
      </c>
      <c r="V305" s="2">
        <f t="shared" si="42"/>
        <v>0</v>
      </c>
      <c r="W305" s="2"/>
      <c r="X305" s="2"/>
    </row>
    <row r="306" spans="2:24" x14ac:dyDescent="0.45">
      <c r="B306" t="s">
        <v>1029</v>
      </c>
      <c r="C306" t="str">
        <f t="shared" si="38"/>
        <v>NO5_Road_2040</v>
      </c>
      <c r="D306" t="s">
        <v>526</v>
      </c>
      <c r="E306">
        <v>2040</v>
      </c>
      <c r="F306" s="2">
        <v>33.477335164835168</v>
      </c>
      <c r="G306" t="s">
        <v>997</v>
      </c>
      <c r="H306" t="s">
        <v>1173</v>
      </c>
      <c r="K306" t="s">
        <v>1258</v>
      </c>
      <c r="L306">
        <v>2312590</v>
      </c>
      <c r="N306">
        <f t="shared" si="39"/>
        <v>2312590</v>
      </c>
      <c r="R306" t="str">
        <f t="shared" si="40"/>
        <v>SE3</v>
      </c>
      <c r="S306" t="str">
        <f t="shared" si="37"/>
        <v>SE3_Road</v>
      </c>
      <c r="T306" t="s">
        <v>526</v>
      </c>
      <c r="U306">
        <f t="shared" si="41"/>
        <v>2030</v>
      </c>
      <c r="V306" s="2">
        <f t="shared" si="42"/>
        <v>3857.1925080128203</v>
      </c>
      <c r="W306" s="2">
        <f>N306*$O$260*$P$260/$Q$260</f>
        <v>2601663.7500000005</v>
      </c>
      <c r="X306" s="2">
        <f>VLOOKUP(_xlfn.TEXTJOIN("_",TRUE,S306,U306),$C$209:$F$307,4,FALSE)</f>
        <v>3559.3830128205127</v>
      </c>
    </row>
    <row r="307" spans="2:24" x14ac:dyDescent="0.45">
      <c r="B307" t="s">
        <v>1029</v>
      </c>
      <c r="C307" t="str">
        <f t="shared" si="38"/>
        <v>NO5_Road_2050</v>
      </c>
      <c r="D307" t="s">
        <v>526</v>
      </c>
      <c r="E307">
        <v>2050</v>
      </c>
      <c r="F307" s="2">
        <v>4.415865384615385</v>
      </c>
      <c r="G307" t="s">
        <v>997</v>
      </c>
      <c r="H307" t="s">
        <v>1173</v>
      </c>
      <c r="K307" t="s">
        <v>1259</v>
      </c>
      <c r="L307">
        <v>7521750</v>
      </c>
      <c r="N307">
        <f t="shared" si="39"/>
        <v>7521750</v>
      </c>
      <c r="R307" t="str">
        <f t="shared" si="40"/>
        <v>SE3</v>
      </c>
      <c r="S307" t="str">
        <f t="shared" si="37"/>
        <v>SE3_Road</v>
      </c>
      <c r="T307" t="s">
        <v>526</v>
      </c>
      <c r="U307">
        <f t="shared" si="41"/>
        <v>2040</v>
      </c>
      <c r="V307" s="2">
        <f t="shared" si="42"/>
        <v>1293.2782451923076</v>
      </c>
      <c r="W307" s="2">
        <f>N307*$O$260*$P$260/$Q$260</f>
        <v>8461968.75</v>
      </c>
      <c r="X307" s="2">
        <f>VLOOKUP(_xlfn.TEXTJOIN("_",TRUE,S307,U307),$C$209:$F$307,4,FALSE)</f>
        <v>324.64629120879118</v>
      </c>
    </row>
    <row r="308" spans="2:24" x14ac:dyDescent="0.45">
      <c r="K308" t="s">
        <v>1260</v>
      </c>
      <c r="L308">
        <v>9484780</v>
      </c>
      <c r="N308">
        <f t="shared" si="39"/>
        <v>9484780</v>
      </c>
      <c r="R308" t="str">
        <f t="shared" si="40"/>
        <v>SE3</v>
      </c>
      <c r="S308" t="str">
        <f t="shared" si="37"/>
        <v>SE3_Road</v>
      </c>
      <c r="T308" t="s">
        <v>526</v>
      </c>
      <c r="U308">
        <f t="shared" si="41"/>
        <v>2050</v>
      </c>
      <c r="V308" s="2">
        <f t="shared" si="42"/>
        <v>1247.8179372710624</v>
      </c>
      <c r="W308" s="2">
        <f>N308*$O$260*$P$260/$Q$260</f>
        <v>10670377.500000002</v>
      </c>
      <c r="X308" s="2">
        <f>VLOOKUP(_xlfn.TEXTJOIN("_",TRUE,S308,U308),$C$209:$F$307,4,FALSE)</f>
        <v>26.391941391941391</v>
      </c>
    </row>
    <row r="309" spans="2:24" x14ac:dyDescent="0.45">
      <c r="K309" t="s">
        <v>1196</v>
      </c>
      <c r="N309">
        <f t="shared" si="39"/>
        <v>0</v>
      </c>
      <c r="R309" t="str">
        <f t="shared" si="40"/>
        <v/>
      </c>
      <c r="S309" t="str">
        <f t="shared" si="37"/>
        <v>Road</v>
      </c>
      <c r="V309" s="2">
        <f t="shared" si="42"/>
        <v>0</v>
      </c>
      <c r="W309" s="2"/>
      <c r="X309" s="2"/>
    </row>
    <row r="310" spans="2:24" x14ac:dyDescent="0.45">
      <c r="K310" t="s">
        <v>1208</v>
      </c>
      <c r="N310">
        <f t="shared" si="39"/>
        <v>0</v>
      </c>
      <c r="R310" t="str">
        <f t="shared" si="40"/>
        <v xml:space="preserve">   </v>
      </c>
      <c r="V310" s="2">
        <f t="shared" si="42"/>
        <v>0</v>
      </c>
      <c r="W310" s="2"/>
      <c r="X310" s="2"/>
    </row>
    <row r="311" spans="2:24" x14ac:dyDescent="0.45">
      <c r="K311" t="s">
        <v>1261</v>
      </c>
      <c r="L311">
        <v>745300</v>
      </c>
      <c r="N311">
        <f t="shared" si="39"/>
        <v>745300</v>
      </c>
      <c r="R311" t="str">
        <f t="shared" si="40"/>
        <v>SE4</v>
      </c>
      <c r="S311" t="str">
        <f t="shared" si="37"/>
        <v>SE4_Road</v>
      </c>
      <c r="T311" t="s">
        <v>526</v>
      </c>
      <c r="U311">
        <f t="shared" si="41"/>
        <v>2030</v>
      </c>
      <c r="V311" s="2">
        <f t="shared" si="42"/>
        <v>1086.5353136446886</v>
      </c>
      <c r="W311" s="2">
        <f>N311*$O$260*$P$260/$Q$260</f>
        <v>838462.5</v>
      </c>
      <c r="X311" s="2">
        <f>VLOOKUP(_xlfn.TEXTJOIN("_",TRUE,S311,U311),$C$209:$F$307,4,FALSE)</f>
        <v>990.55746336996333</v>
      </c>
    </row>
    <row r="312" spans="2:24" x14ac:dyDescent="0.45">
      <c r="K312" t="s">
        <v>1262</v>
      </c>
      <c r="L312">
        <v>2408530</v>
      </c>
      <c r="N312">
        <f t="shared" si="39"/>
        <v>2408530</v>
      </c>
      <c r="R312" t="str">
        <f t="shared" si="40"/>
        <v>SE4</v>
      </c>
      <c r="S312" t="str">
        <f t="shared" si="37"/>
        <v>SE4_Road</v>
      </c>
      <c r="T312" t="s">
        <v>526</v>
      </c>
      <c r="U312">
        <f t="shared" si="41"/>
        <v>2040</v>
      </c>
      <c r="V312" s="2">
        <f t="shared" si="42"/>
        <v>416.04925022893769</v>
      </c>
      <c r="W312" s="2">
        <f>N312*$O$260*$P$260/$Q$260</f>
        <v>2709596.25</v>
      </c>
      <c r="X312" s="2">
        <f>VLOOKUP(_xlfn.TEXTJOIN("_",TRUE,S312,U312),$C$209:$F$307,4,FALSE)</f>
        <v>105.88484432234432</v>
      </c>
    </row>
    <row r="313" spans="2:24" x14ac:dyDescent="0.45">
      <c r="K313" t="s">
        <v>1263</v>
      </c>
      <c r="L313">
        <v>3042420</v>
      </c>
      <c r="N313">
        <f t="shared" si="39"/>
        <v>3042420</v>
      </c>
      <c r="R313" t="str">
        <f t="shared" si="40"/>
        <v>SE4</v>
      </c>
      <c r="S313" t="str">
        <f t="shared" si="37"/>
        <v>SE4_Road</v>
      </c>
      <c r="T313" t="s">
        <v>526</v>
      </c>
      <c r="U313">
        <f t="shared" si="41"/>
        <v>2050</v>
      </c>
      <c r="V313" s="2">
        <f t="shared" si="42"/>
        <v>400.74662316849822</v>
      </c>
      <c r="W313" s="2">
        <f>N313*$O$260*$P$260/$Q$260</f>
        <v>3422722.5000000005</v>
      </c>
      <c r="X313" s="2">
        <f>VLOOKUP(_xlfn.TEXTJOIN("_",TRUE,S313,U313),$C$209:$F$307,4,FALSE)</f>
        <v>8.9514652014652007</v>
      </c>
    </row>
    <row r="314" spans="2:24" x14ac:dyDescent="0.45">
      <c r="R314" s="2"/>
    </row>
    <row r="320" spans="2:24" x14ac:dyDescent="0.45">
      <c r="B320" s="144" t="s">
        <v>1273</v>
      </c>
      <c r="C320" s="120"/>
      <c r="D320" s="120"/>
      <c r="E320" s="120"/>
      <c r="F320" s="120"/>
      <c r="G320" s="120"/>
      <c r="H320" s="120"/>
    </row>
    <row r="322" spans="2:5" x14ac:dyDescent="0.45">
      <c r="B322" t="s">
        <v>1000</v>
      </c>
      <c r="C322" t="s">
        <v>1274</v>
      </c>
      <c r="D322">
        <v>2030</v>
      </c>
      <c r="E322" s="2">
        <v>239.00641025641022</v>
      </c>
    </row>
    <row r="323" spans="2:5" x14ac:dyDescent="0.45">
      <c r="B323" t="s">
        <v>1000</v>
      </c>
      <c r="C323" t="s">
        <v>1274</v>
      </c>
      <c r="D323">
        <v>2040</v>
      </c>
      <c r="E323" s="2">
        <v>255.71988196988198</v>
      </c>
    </row>
    <row r="324" spans="2:5" x14ac:dyDescent="0.45">
      <c r="B324" t="s">
        <v>1000</v>
      </c>
      <c r="C324" t="s">
        <v>1274</v>
      </c>
      <c r="D324">
        <v>2050</v>
      </c>
      <c r="E324" s="2">
        <v>252.96277218152218</v>
      </c>
    </row>
    <row r="325" spans="2:5" x14ac:dyDescent="0.45">
      <c r="B325" t="s">
        <v>999</v>
      </c>
      <c r="C325" t="s">
        <v>1274</v>
      </c>
      <c r="D325">
        <v>2030</v>
      </c>
      <c r="E325" s="2">
        <v>1492.4885531135531</v>
      </c>
    </row>
    <row r="326" spans="2:5" x14ac:dyDescent="0.45">
      <c r="B326" t="s">
        <v>999</v>
      </c>
      <c r="C326" t="s">
        <v>1274</v>
      </c>
      <c r="D326">
        <v>2040</v>
      </c>
      <c r="E326" s="2">
        <v>1612.8598773911274</v>
      </c>
    </row>
    <row r="327" spans="2:5" x14ac:dyDescent="0.45">
      <c r="B327" t="s">
        <v>999</v>
      </c>
      <c r="C327" t="s">
        <v>1274</v>
      </c>
      <c r="D327">
        <v>2050</v>
      </c>
      <c r="E327" s="2">
        <v>1596.6037405881157</v>
      </c>
    </row>
    <row r="328" spans="2:5" x14ac:dyDescent="0.45">
      <c r="B328" t="s">
        <v>1020</v>
      </c>
      <c r="C328" t="s">
        <v>1274</v>
      </c>
      <c r="D328">
        <v>2030</v>
      </c>
      <c r="E328" s="2">
        <v>720.79945054945051</v>
      </c>
    </row>
    <row r="329" spans="2:5" x14ac:dyDescent="0.45">
      <c r="B329" t="s">
        <v>1020</v>
      </c>
      <c r="C329" t="s">
        <v>1274</v>
      </c>
      <c r="D329">
        <v>2040</v>
      </c>
      <c r="E329" s="2">
        <v>720.36750864875864</v>
      </c>
    </row>
    <row r="330" spans="2:5" x14ac:dyDescent="0.45">
      <c r="B330" t="s">
        <v>1020</v>
      </c>
      <c r="C330" t="s">
        <v>1274</v>
      </c>
      <c r="D330">
        <v>2050</v>
      </c>
      <c r="E330" s="2">
        <v>557.18007224257212</v>
      </c>
    </row>
    <row r="331" spans="2:5" x14ac:dyDescent="0.45">
      <c r="B331" t="s">
        <v>1021</v>
      </c>
      <c r="C331" t="s">
        <v>1274</v>
      </c>
      <c r="D331">
        <v>2030</v>
      </c>
      <c r="E331" s="2">
        <v>240.2664835164835</v>
      </c>
    </row>
    <row r="332" spans="2:5" x14ac:dyDescent="0.45">
      <c r="B332" t="s">
        <v>1021</v>
      </c>
      <c r="C332" t="s">
        <v>1274</v>
      </c>
      <c r="D332">
        <v>2040</v>
      </c>
      <c r="E332" s="2">
        <v>275.01063606532358</v>
      </c>
    </row>
    <row r="333" spans="2:5" x14ac:dyDescent="0.45">
      <c r="B333" t="s">
        <v>1021</v>
      </c>
      <c r="C333" t="s">
        <v>1274</v>
      </c>
      <c r="D333">
        <v>2050</v>
      </c>
      <c r="E333" s="2">
        <v>323.98137973137977</v>
      </c>
    </row>
    <row r="334" spans="2:5" x14ac:dyDescent="0.45">
      <c r="B334" t="s">
        <v>1022</v>
      </c>
      <c r="C334" t="s">
        <v>1274</v>
      </c>
      <c r="D334">
        <v>2030</v>
      </c>
      <c r="E334" s="2">
        <v>111.43143315018315</v>
      </c>
    </row>
    <row r="335" spans="2:5" x14ac:dyDescent="0.45">
      <c r="B335" t="s">
        <v>1022</v>
      </c>
      <c r="C335" t="s">
        <v>1274</v>
      </c>
      <c r="D335">
        <v>2040</v>
      </c>
      <c r="E335" s="2">
        <v>126.28434065934066</v>
      </c>
    </row>
    <row r="336" spans="2:5" x14ac:dyDescent="0.45">
      <c r="B336" t="s">
        <v>1022</v>
      </c>
      <c r="C336" t="s">
        <v>1274</v>
      </c>
      <c r="D336">
        <v>2050</v>
      </c>
      <c r="E336" s="2">
        <v>120.82409633190883</v>
      </c>
    </row>
    <row r="337" spans="2:5" x14ac:dyDescent="0.45">
      <c r="B337" t="s">
        <v>1023</v>
      </c>
      <c r="C337" t="s">
        <v>1274</v>
      </c>
      <c r="D337">
        <v>2030</v>
      </c>
      <c r="E337" s="2">
        <v>111.43143315018315</v>
      </c>
    </row>
    <row r="338" spans="2:5" x14ac:dyDescent="0.45">
      <c r="B338" t="s">
        <v>1023</v>
      </c>
      <c r="C338" t="s">
        <v>1274</v>
      </c>
      <c r="D338">
        <v>2040</v>
      </c>
      <c r="E338" s="2">
        <v>126.28434065934066</v>
      </c>
    </row>
    <row r="339" spans="2:5" x14ac:dyDescent="0.45">
      <c r="B339" t="s">
        <v>1023</v>
      </c>
      <c r="C339" t="s">
        <v>1274</v>
      </c>
      <c r="D339">
        <v>2050</v>
      </c>
      <c r="E339" s="2">
        <v>120.82409633190883</v>
      </c>
    </row>
    <row r="340" spans="2:5" x14ac:dyDescent="0.45">
      <c r="B340" t="s">
        <v>1024</v>
      </c>
      <c r="C340" t="s">
        <v>1274</v>
      </c>
      <c r="D340">
        <v>2030</v>
      </c>
      <c r="E340" s="2">
        <v>240.2664835164835</v>
      </c>
    </row>
    <row r="341" spans="2:5" x14ac:dyDescent="0.45">
      <c r="B341" t="s">
        <v>1024</v>
      </c>
      <c r="C341" t="s">
        <v>1274</v>
      </c>
      <c r="D341">
        <v>2040</v>
      </c>
      <c r="E341" s="2">
        <v>275.01063606532358</v>
      </c>
    </row>
    <row r="342" spans="2:5" x14ac:dyDescent="0.45">
      <c r="B342" t="s">
        <v>1024</v>
      </c>
      <c r="C342" t="s">
        <v>1274</v>
      </c>
      <c r="D342">
        <v>2050</v>
      </c>
      <c r="E342" s="2">
        <v>323.98137973137977</v>
      </c>
    </row>
    <row r="343" spans="2:5" x14ac:dyDescent="0.45">
      <c r="B343" t="s">
        <v>1003</v>
      </c>
      <c r="C343" t="s">
        <v>1274</v>
      </c>
      <c r="D343">
        <v>2030</v>
      </c>
      <c r="E343" s="2">
        <v>30.967261904761905</v>
      </c>
    </row>
    <row r="344" spans="2:5" x14ac:dyDescent="0.45">
      <c r="B344" t="s">
        <v>1003</v>
      </c>
      <c r="C344" t="s">
        <v>1274</v>
      </c>
      <c r="D344">
        <v>2040</v>
      </c>
      <c r="E344" s="2">
        <v>29.065202737077737</v>
      </c>
    </row>
    <row r="345" spans="2:5" x14ac:dyDescent="0.45">
      <c r="B345" t="s">
        <v>1003</v>
      </c>
      <c r="C345" t="s">
        <v>1274</v>
      </c>
      <c r="D345">
        <v>2050</v>
      </c>
      <c r="E345" s="2">
        <v>26.497825091575095</v>
      </c>
    </row>
    <row r="346" spans="2:5" x14ac:dyDescent="0.45">
      <c r="B346" t="s">
        <v>1004</v>
      </c>
      <c r="C346" t="s">
        <v>1274</v>
      </c>
      <c r="D346">
        <v>2030</v>
      </c>
      <c r="E346" s="2">
        <v>46.491529304029307</v>
      </c>
    </row>
    <row r="347" spans="2:5" x14ac:dyDescent="0.45">
      <c r="B347" t="s">
        <v>1004</v>
      </c>
      <c r="C347" t="s">
        <v>1274</v>
      </c>
      <c r="D347">
        <v>2040</v>
      </c>
      <c r="E347" s="2">
        <v>44.687277421652425</v>
      </c>
    </row>
    <row r="348" spans="2:5" x14ac:dyDescent="0.45">
      <c r="B348" t="s">
        <v>1004</v>
      </c>
      <c r="C348" t="s">
        <v>1274</v>
      </c>
      <c r="D348">
        <v>2050</v>
      </c>
      <c r="E348" s="2">
        <v>41.781517094017097</v>
      </c>
    </row>
    <row r="349" spans="2:5" x14ac:dyDescent="0.45">
      <c r="B349" t="s">
        <v>1005</v>
      </c>
      <c r="C349" t="s">
        <v>1274</v>
      </c>
      <c r="D349">
        <v>2030</v>
      </c>
      <c r="E349" s="2">
        <v>1655.0011446886447</v>
      </c>
    </row>
    <row r="350" spans="2:5" x14ac:dyDescent="0.45">
      <c r="B350" t="s">
        <v>1005</v>
      </c>
      <c r="C350" t="s">
        <v>1274</v>
      </c>
      <c r="D350">
        <v>2040</v>
      </c>
      <c r="E350" s="2">
        <v>1853.5551167582416</v>
      </c>
    </row>
    <row r="351" spans="2:5" x14ac:dyDescent="0.45">
      <c r="B351" t="s">
        <v>1005</v>
      </c>
      <c r="C351" t="s">
        <v>1274</v>
      </c>
      <c r="D351">
        <v>2050</v>
      </c>
      <c r="E351" s="2">
        <v>2154.7506168599921</v>
      </c>
    </row>
    <row r="352" spans="2:5" x14ac:dyDescent="0.45">
      <c r="B352" t="s">
        <v>1006</v>
      </c>
      <c r="C352" t="s">
        <v>1274</v>
      </c>
      <c r="D352">
        <v>2030</v>
      </c>
      <c r="E352" s="2">
        <v>112.07989926739927</v>
      </c>
    </row>
    <row r="353" spans="2:5" x14ac:dyDescent="0.45">
      <c r="B353" t="s">
        <v>1006</v>
      </c>
      <c r="C353" t="s">
        <v>1274</v>
      </c>
      <c r="D353">
        <v>2040</v>
      </c>
      <c r="E353" s="2">
        <v>119.06796906796909</v>
      </c>
    </row>
    <row r="354" spans="2:5" x14ac:dyDescent="0.45">
      <c r="B354" t="s">
        <v>1006</v>
      </c>
      <c r="C354" t="s">
        <v>1274</v>
      </c>
      <c r="D354">
        <v>2050</v>
      </c>
      <c r="E354" s="2">
        <v>131.08513303825805</v>
      </c>
    </row>
    <row r="355" spans="2:5" x14ac:dyDescent="0.45">
      <c r="B355" t="s">
        <v>1002</v>
      </c>
      <c r="C355" t="s">
        <v>1274</v>
      </c>
      <c r="D355">
        <v>2030</v>
      </c>
      <c r="E355" s="2">
        <v>1582.0750343406594</v>
      </c>
    </row>
    <row r="356" spans="2:5" x14ac:dyDescent="0.45">
      <c r="B356" t="s">
        <v>1002</v>
      </c>
      <c r="C356" t="s">
        <v>1274</v>
      </c>
      <c r="D356">
        <v>2040</v>
      </c>
      <c r="E356" s="2">
        <v>612.12039262820531</v>
      </c>
    </row>
    <row r="357" spans="2:5" x14ac:dyDescent="0.45">
      <c r="B357" t="s">
        <v>1002</v>
      </c>
      <c r="C357" t="s">
        <v>1274</v>
      </c>
      <c r="D357">
        <v>2050</v>
      </c>
      <c r="E357" s="2">
        <v>598.74656593406598</v>
      </c>
    </row>
    <row r="358" spans="2:5" x14ac:dyDescent="0.45">
      <c r="B358" t="s">
        <v>1001</v>
      </c>
      <c r="C358" t="s">
        <v>1274</v>
      </c>
      <c r="D358">
        <v>2030</v>
      </c>
      <c r="E358" s="2">
        <v>1045.2249313186812</v>
      </c>
    </row>
    <row r="359" spans="2:5" x14ac:dyDescent="0.45">
      <c r="B359" t="s">
        <v>1001</v>
      </c>
      <c r="C359" t="s">
        <v>1274</v>
      </c>
      <c r="D359">
        <v>2040</v>
      </c>
      <c r="E359" s="2">
        <v>406.14955357142867</v>
      </c>
    </row>
    <row r="360" spans="2:5" x14ac:dyDescent="0.45">
      <c r="B360" t="s">
        <v>1001</v>
      </c>
      <c r="C360" t="s">
        <v>1274</v>
      </c>
      <c r="D360">
        <v>2050</v>
      </c>
      <c r="E360" s="2">
        <v>397.5912889194139</v>
      </c>
    </row>
    <row r="361" spans="2:5" x14ac:dyDescent="0.45">
      <c r="B361" t="s">
        <v>1025</v>
      </c>
      <c r="C361" t="s">
        <v>1274</v>
      </c>
      <c r="D361">
        <v>2030</v>
      </c>
      <c r="E361" s="2">
        <v>679.7110805860807</v>
      </c>
    </row>
    <row r="362" spans="2:5" x14ac:dyDescent="0.45">
      <c r="B362" t="s">
        <v>1025</v>
      </c>
      <c r="C362" t="s">
        <v>1274</v>
      </c>
      <c r="D362">
        <v>2040</v>
      </c>
      <c r="E362" s="2">
        <v>293.68229166666674</v>
      </c>
    </row>
    <row r="363" spans="2:5" x14ac:dyDescent="0.45">
      <c r="B363" t="s">
        <v>1025</v>
      </c>
      <c r="C363" t="s">
        <v>1274</v>
      </c>
      <c r="D363">
        <v>2050</v>
      </c>
      <c r="E363" s="2">
        <v>303.78977793040298</v>
      </c>
    </row>
    <row r="364" spans="2:5" x14ac:dyDescent="0.45">
      <c r="B364" t="s">
        <v>1026</v>
      </c>
      <c r="C364" t="s">
        <v>1274</v>
      </c>
      <c r="D364">
        <v>2030</v>
      </c>
      <c r="E364" s="2">
        <v>509.78331043956047</v>
      </c>
    </row>
    <row r="365" spans="2:5" x14ac:dyDescent="0.45">
      <c r="B365" t="s">
        <v>1026</v>
      </c>
      <c r="C365" t="s">
        <v>1274</v>
      </c>
      <c r="D365">
        <v>2040</v>
      </c>
      <c r="E365" s="2">
        <v>220.26171875000006</v>
      </c>
    </row>
    <row r="366" spans="2:5" x14ac:dyDescent="0.45">
      <c r="B366" t="s">
        <v>1026</v>
      </c>
      <c r="C366" t="s">
        <v>1274</v>
      </c>
      <c r="D366">
        <v>2050</v>
      </c>
      <c r="E366" s="2">
        <v>227.84233344780222</v>
      </c>
    </row>
    <row r="367" spans="2:5" x14ac:dyDescent="0.45">
      <c r="B367" t="s">
        <v>1027</v>
      </c>
      <c r="C367" t="s">
        <v>1274</v>
      </c>
      <c r="D367">
        <v>2030</v>
      </c>
      <c r="E367" s="2">
        <v>232.38524496336996</v>
      </c>
    </row>
    <row r="368" spans="2:5" x14ac:dyDescent="0.45">
      <c r="B368" t="s">
        <v>1027</v>
      </c>
      <c r="C368" t="s">
        <v>1274</v>
      </c>
      <c r="D368">
        <v>2040</v>
      </c>
      <c r="E368" s="2">
        <v>125.64581902472528</v>
      </c>
    </row>
    <row r="369" spans="2:5" x14ac:dyDescent="0.45">
      <c r="B369" t="s">
        <v>1027</v>
      </c>
      <c r="C369" t="s">
        <v>1274</v>
      </c>
      <c r="D369">
        <v>2050</v>
      </c>
      <c r="E369" s="2">
        <v>115.39219894688645</v>
      </c>
    </row>
    <row r="370" spans="2:5" x14ac:dyDescent="0.45">
      <c r="B370" t="s">
        <v>1028</v>
      </c>
      <c r="C370" t="s">
        <v>1274</v>
      </c>
      <c r="D370">
        <v>2030</v>
      </c>
      <c r="E370" s="2">
        <v>232.38524496336996</v>
      </c>
    </row>
    <row r="371" spans="2:5" x14ac:dyDescent="0.45">
      <c r="B371" t="s">
        <v>1028</v>
      </c>
      <c r="C371" t="s">
        <v>1274</v>
      </c>
      <c r="D371">
        <v>2040</v>
      </c>
      <c r="E371" s="2">
        <v>125.64581902472528</v>
      </c>
    </row>
    <row r="372" spans="2:5" x14ac:dyDescent="0.45">
      <c r="B372" t="s">
        <v>1028</v>
      </c>
      <c r="C372" t="s">
        <v>1274</v>
      </c>
      <c r="D372">
        <v>2050</v>
      </c>
      <c r="E372" s="2">
        <v>115.39219894688645</v>
      </c>
    </row>
    <row r="373" spans="2:5" x14ac:dyDescent="0.45">
      <c r="B373" t="s">
        <v>1029</v>
      </c>
      <c r="C373" t="s">
        <v>1274</v>
      </c>
      <c r="D373">
        <v>2030</v>
      </c>
      <c r="E373" s="2">
        <v>509.78331043956047</v>
      </c>
    </row>
    <row r="374" spans="2:5" x14ac:dyDescent="0.45">
      <c r="B374" t="s">
        <v>1029</v>
      </c>
      <c r="C374" t="s">
        <v>1274</v>
      </c>
      <c r="D374">
        <v>2040</v>
      </c>
      <c r="E374" s="2">
        <v>220.26171875000006</v>
      </c>
    </row>
    <row r="375" spans="2:5" x14ac:dyDescent="0.45">
      <c r="B375" t="s">
        <v>1029</v>
      </c>
      <c r="C375" t="s">
        <v>1274</v>
      </c>
      <c r="D375">
        <v>2050</v>
      </c>
      <c r="E375" s="2">
        <v>227.84233344780222</v>
      </c>
    </row>
    <row r="376" spans="2:5" x14ac:dyDescent="0.45">
      <c r="B376" t="s">
        <v>1007</v>
      </c>
      <c r="C376" t="s">
        <v>1274</v>
      </c>
      <c r="D376">
        <v>2030</v>
      </c>
      <c r="E376" s="2">
        <v>157.15201465201463</v>
      </c>
    </row>
    <row r="377" spans="2:5" x14ac:dyDescent="0.45">
      <c r="B377" t="s">
        <v>1007</v>
      </c>
      <c r="C377" t="s">
        <v>1274</v>
      </c>
      <c r="D377">
        <v>2040</v>
      </c>
      <c r="E377" s="2">
        <v>71.660227793040292</v>
      </c>
    </row>
    <row r="378" spans="2:5" x14ac:dyDescent="0.45">
      <c r="B378" t="s">
        <v>1007</v>
      </c>
      <c r="C378" t="s">
        <v>1274</v>
      </c>
      <c r="D378">
        <v>2050</v>
      </c>
      <c r="E378" s="2">
        <v>69.032022664835154</v>
      </c>
    </row>
    <row r="379" spans="2:5" x14ac:dyDescent="0.45">
      <c r="B379" t="s">
        <v>1008</v>
      </c>
      <c r="C379" t="s">
        <v>1274</v>
      </c>
      <c r="D379">
        <v>2030</v>
      </c>
      <c r="E379" s="2">
        <v>382.53677312271066</v>
      </c>
    </row>
    <row r="380" spans="2:5" x14ac:dyDescent="0.45">
      <c r="B380" t="s">
        <v>1008</v>
      </c>
      <c r="C380" t="s">
        <v>1274</v>
      </c>
      <c r="D380">
        <v>2040</v>
      </c>
      <c r="E380" s="2">
        <v>169.87165178571428</v>
      </c>
    </row>
    <row r="381" spans="2:5" x14ac:dyDescent="0.45">
      <c r="B381" t="s">
        <v>1008</v>
      </c>
      <c r="C381" t="s">
        <v>1274</v>
      </c>
      <c r="D381">
        <v>2050</v>
      </c>
      <c r="E381" s="2">
        <v>163.97693452380955</v>
      </c>
    </row>
    <row r="382" spans="2:5" x14ac:dyDescent="0.45">
      <c r="B382" t="s">
        <v>1009</v>
      </c>
      <c r="C382" t="s">
        <v>1274</v>
      </c>
      <c r="D382">
        <v>2030</v>
      </c>
      <c r="E382" s="2">
        <v>3857.1925080128203</v>
      </c>
    </row>
    <row r="383" spans="2:5" x14ac:dyDescent="0.45">
      <c r="B383" t="s">
        <v>1009</v>
      </c>
      <c r="C383" t="s">
        <v>1274</v>
      </c>
      <c r="D383">
        <v>2040</v>
      </c>
      <c r="E383" s="2">
        <v>1293.2782451923076</v>
      </c>
    </row>
    <row r="384" spans="2:5" x14ac:dyDescent="0.45">
      <c r="B384" t="s">
        <v>1009</v>
      </c>
      <c r="C384" t="s">
        <v>1274</v>
      </c>
      <c r="D384">
        <v>2050</v>
      </c>
      <c r="E384" s="2">
        <v>1247.8179372710624</v>
      </c>
    </row>
    <row r="385" spans="2:5" x14ac:dyDescent="0.45">
      <c r="B385" t="s">
        <v>1010</v>
      </c>
      <c r="C385" t="s">
        <v>1274</v>
      </c>
      <c r="D385">
        <v>2030</v>
      </c>
      <c r="E385" s="2">
        <v>1086.5353136446886</v>
      </c>
    </row>
    <row r="386" spans="2:5" x14ac:dyDescent="0.45">
      <c r="B386" t="s">
        <v>1010</v>
      </c>
      <c r="C386" t="s">
        <v>1274</v>
      </c>
      <c r="D386">
        <v>2040</v>
      </c>
      <c r="E386" s="2">
        <v>416.04925022893769</v>
      </c>
    </row>
    <row r="387" spans="2:5" x14ac:dyDescent="0.45">
      <c r="B387" t="s">
        <v>1010</v>
      </c>
      <c r="C387" t="s">
        <v>1274</v>
      </c>
      <c r="D387">
        <v>2050</v>
      </c>
      <c r="E387" s="2">
        <v>400.74662316849822</v>
      </c>
    </row>
  </sheetData>
  <autoFilter ref="R213:X313" xr:uid="{00000000-0001-0000-0400-000000000000}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M200"/>
  <sheetViews>
    <sheetView tabSelected="1" topLeftCell="A181" zoomScaleNormal="100" workbookViewId="0">
      <selection activeCell="K198" sqref="K198:K200"/>
    </sheetView>
  </sheetViews>
  <sheetFormatPr defaultRowHeight="14.25" x14ac:dyDescent="0.45"/>
  <cols>
    <col min="1" max="1" width="12.3984375" bestFit="1" customWidth="1"/>
    <col min="2" max="2" width="14.86328125" bestFit="1" customWidth="1"/>
    <col min="3" max="3" width="13.265625" customWidth="1"/>
    <col min="4" max="4" width="13.3984375" customWidth="1"/>
    <col min="5" max="5" width="11.86328125" bestFit="1" customWidth="1"/>
    <col min="6" max="6" width="12" customWidth="1"/>
    <col min="7" max="7" width="11.86328125" bestFit="1" customWidth="1"/>
    <col min="8" max="8" width="11.59765625" customWidth="1"/>
    <col min="9" max="13" width="11.86328125" bestFit="1" customWidth="1"/>
    <col min="14" max="14" width="16.1328125" bestFit="1" customWidth="1"/>
    <col min="15" max="15" width="12.86328125" bestFit="1" customWidth="1"/>
    <col min="16" max="16" width="16.1328125" bestFit="1" customWidth="1"/>
    <col min="17" max="17" width="12.86328125" bestFit="1" customWidth="1"/>
    <col min="18" max="18" width="16.1328125" bestFit="1" customWidth="1"/>
    <col min="19" max="19" width="12.86328125" bestFit="1" customWidth="1"/>
    <col min="20" max="20" width="16.1328125" bestFit="1" customWidth="1"/>
    <col min="21" max="21" width="12.86328125" bestFit="1" customWidth="1"/>
    <col min="22" max="22" width="16.1328125" bestFit="1" customWidth="1"/>
    <col min="23" max="23" width="12.86328125" bestFit="1" customWidth="1"/>
    <col min="24" max="24" width="21.1328125" bestFit="1" customWidth="1"/>
    <col min="25" max="25" width="17.73046875" bestFit="1" customWidth="1"/>
    <col min="26" max="42" width="10.1328125" bestFit="1" customWidth="1"/>
    <col min="43" max="43" width="13.1328125" customWidth="1"/>
    <col min="44" max="44" width="10.1328125" bestFit="1" customWidth="1"/>
    <col min="45" max="45" width="12.73046875" bestFit="1" customWidth="1"/>
    <col min="46" max="46" width="13.265625" customWidth="1"/>
    <col min="47" max="47" width="12.59765625" customWidth="1"/>
    <col min="48" max="48" width="12.1328125" customWidth="1"/>
    <col min="49" max="49" width="12.59765625" customWidth="1"/>
    <col min="50" max="50" width="13" customWidth="1"/>
    <col min="51" max="51" width="13.3984375" customWidth="1"/>
    <col min="52" max="52" width="11.1328125" customWidth="1"/>
    <col min="53" max="53" width="11.3984375" customWidth="1"/>
    <col min="54" max="54" width="12.3984375" customWidth="1"/>
    <col min="55" max="56" width="13" customWidth="1"/>
    <col min="57" max="58" width="9.1328125" bestFit="1" customWidth="1"/>
    <col min="59" max="59" width="12" customWidth="1"/>
    <col min="60" max="62" width="9.1328125" bestFit="1" customWidth="1"/>
    <col min="63" max="63" width="13.3984375" customWidth="1"/>
    <col min="64" max="64" width="13.86328125" customWidth="1"/>
    <col min="65" max="65" width="12.1328125" customWidth="1"/>
    <col min="66" max="66" width="12" customWidth="1"/>
    <col min="67" max="68" width="9.1328125" bestFit="1" customWidth="1"/>
    <col min="69" max="69" width="12" bestFit="1" customWidth="1"/>
    <col min="70" max="71" width="9.1328125" bestFit="1" customWidth="1"/>
    <col min="72" max="72" width="11.265625" customWidth="1"/>
    <col min="73" max="73" width="12" bestFit="1" customWidth="1"/>
    <col min="74" max="74" width="12.73046875" customWidth="1"/>
    <col min="75" max="75" width="12" bestFit="1" customWidth="1"/>
    <col min="76" max="76" width="12.73046875" customWidth="1"/>
    <col min="77" max="77" width="13.59765625" customWidth="1"/>
    <col min="78" max="78" width="14.3984375" customWidth="1"/>
    <col min="79" max="79" width="13" customWidth="1"/>
    <col min="80" max="80" width="12" bestFit="1" customWidth="1"/>
    <col min="81" max="81" width="11.1328125" customWidth="1"/>
    <col min="82" max="85" width="9.1328125" bestFit="1" customWidth="1"/>
    <col min="86" max="86" width="12.59765625" customWidth="1"/>
    <col min="87" max="87" width="14" customWidth="1"/>
    <col min="88" max="88" width="13.59765625" customWidth="1"/>
    <col min="89" max="89" width="13" customWidth="1"/>
    <col min="90" max="90" width="12.59765625" customWidth="1"/>
    <col min="91" max="91" width="13.3984375" bestFit="1" customWidth="1"/>
  </cols>
  <sheetData>
    <row r="1" spans="1:55" x14ac:dyDescent="0.45">
      <c r="A1" t="s">
        <v>1</v>
      </c>
      <c r="B1" t="s">
        <v>551</v>
      </c>
    </row>
    <row r="2" spans="1:55" x14ac:dyDescent="0.45">
      <c r="B2" t="s">
        <v>552</v>
      </c>
    </row>
    <row r="4" spans="1:55" s="37" customFormat="1" x14ac:dyDescent="0.45">
      <c r="A4" s="36" t="s">
        <v>549</v>
      </c>
    </row>
    <row r="6" spans="1:55" x14ac:dyDescent="0.45">
      <c r="C6" t="s">
        <v>178</v>
      </c>
    </row>
    <row r="7" spans="1:55" x14ac:dyDescent="0.45">
      <c r="AG7" t="s">
        <v>144</v>
      </c>
      <c r="AH7" t="s">
        <v>145</v>
      </c>
      <c r="AJ7" t="s">
        <v>147</v>
      </c>
      <c r="AX7" t="s">
        <v>161</v>
      </c>
    </row>
    <row r="8" spans="1:55" x14ac:dyDescent="0.45">
      <c r="A8" s="12" t="s">
        <v>115</v>
      </c>
    </row>
    <row r="9" spans="1:55" x14ac:dyDescent="0.45">
      <c r="B9" t="s">
        <v>116</v>
      </c>
      <c r="C9" t="s">
        <v>117</v>
      </c>
      <c r="D9" t="s">
        <v>118</v>
      </c>
      <c r="E9" t="s">
        <v>119</v>
      </c>
      <c r="F9" t="s">
        <v>120</v>
      </c>
      <c r="G9" t="s">
        <v>121</v>
      </c>
      <c r="H9" t="s">
        <v>122</v>
      </c>
      <c r="I9" t="s">
        <v>123</v>
      </c>
      <c r="J9" t="s">
        <v>124</v>
      </c>
      <c r="K9" t="s">
        <v>125</v>
      </c>
      <c r="M9" t="s">
        <v>126</v>
      </c>
      <c r="N9" t="s">
        <v>127</v>
      </c>
      <c r="O9" t="s">
        <v>128</v>
      </c>
      <c r="P9" t="s">
        <v>129</v>
      </c>
      <c r="Q9" t="s">
        <v>130</v>
      </c>
      <c r="R9" t="s">
        <v>131</v>
      </c>
      <c r="T9" t="s">
        <v>132</v>
      </c>
      <c r="U9" t="s">
        <v>133</v>
      </c>
      <c r="V9" t="s">
        <v>134</v>
      </c>
      <c r="W9" t="s">
        <v>135</v>
      </c>
      <c r="X9" t="s">
        <v>136</v>
      </c>
      <c r="Y9" t="s">
        <v>137</v>
      </c>
      <c r="Z9" t="s">
        <v>138</v>
      </c>
      <c r="AA9" t="s">
        <v>139</v>
      </c>
      <c r="AB9" t="s">
        <v>140</v>
      </c>
      <c r="AC9" t="s">
        <v>141</v>
      </c>
      <c r="AD9" t="s">
        <v>142</v>
      </c>
      <c r="AF9" t="s">
        <v>143</v>
      </c>
      <c r="AI9" t="s">
        <v>146</v>
      </c>
      <c r="AK9" t="s">
        <v>148</v>
      </c>
      <c r="AL9" t="s">
        <v>149</v>
      </c>
      <c r="AM9" t="s">
        <v>150</v>
      </c>
      <c r="AN9" t="s">
        <v>151</v>
      </c>
      <c r="AO9" t="s">
        <v>152</v>
      </c>
      <c r="AP9" t="s">
        <v>153</v>
      </c>
      <c r="AQ9" t="s">
        <v>154</v>
      </c>
      <c r="AR9" t="s">
        <v>155</v>
      </c>
      <c r="AS9" t="s">
        <v>156</v>
      </c>
      <c r="AT9" t="s">
        <v>157</v>
      </c>
      <c r="AU9" t="s">
        <v>158</v>
      </c>
      <c r="AV9" t="s">
        <v>159</v>
      </c>
      <c r="AW9" t="s">
        <v>160</v>
      </c>
      <c r="AY9" t="s">
        <v>162</v>
      </c>
      <c r="AZ9" t="s">
        <v>163</v>
      </c>
      <c r="BA9" t="s">
        <v>164</v>
      </c>
      <c r="BB9" t="s">
        <v>165</v>
      </c>
    </row>
    <row r="10" spans="1:55" x14ac:dyDescent="0.45">
      <c r="A10" t="s">
        <v>60</v>
      </c>
      <c r="B10">
        <v>19</v>
      </c>
      <c r="C10">
        <v>19.3</v>
      </c>
      <c r="D10">
        <v>19</v>
      </c>
      <c r="E10">
        <v>19.2</v>
      </c>
      <c r="F10">
        <v>18.7</v>
      </c>
      <c r="G10">
        <v>19.2</v>
      </c>
      <c r="H10">
        <v>18.7</v>
      </c>
      <c r="I10">
        <v>19.2</v>
      </c>
      <c r="J10">
        <v>18.600000000000001</v>
      </c>
      <c r="K10">
        <v>18.600000000000001</v>
      </c>
      <c r="M10">
        <v>17.98</v>
      </c>
      <c r="N10">
        <v>16.64</v>
      </c>
      <c r="O10">
        <v>17.38</v>
      </c>
      <c r="P10">
        <v>15.57</v>
      </c>
      <c r="Q10">
        <v>16.5</v>
      </c>
      <c r="R10">
        <v>18.399999999999999</v>
      </c>
      <c r="T10">
        <v>18.100000000000001</v>
      </c>
      <c r="U10">
        <v>14.47</v>
      </c>
      <c r="V10">
        <v>15.95</v>
      </c>
      <c r="W10">
        <v>17.670000000000002</v>
      </c>
      <c r="X10">
        <v>17.04</v>
      </c>
      <c r="Y10">
        <v>16.600000000000001</v>
      </c>
      <c r="Z10">
        <v>20.2</v>
      </c>
      <c r="AA10">
        <v>17.5</v>
      </c>
      <c r="AB10">
        <v>17.2</v>
      </c>
      <c r="AC10">
        <v>17.2</v>
      </c>
      <c r="AD10">
        <v>16.7</v>
      </c>
      <c r="AF10">
        <v>18.7</v>
      </c>
      <c r="AI10">
        <v>18.7</v>
      </c>
      <c r="AK10">
        <v>18.77</v>
      </c>
      <c r="AL10">
        <v>18.77</v>
      </c>
      <c r="AM10">
        <v>17.97</v>
      </c>
      <c r="AN10">
        <v>17.97</v>
      </c>
      <c r="AO10">
        <v>18.38</v>
      </c>
      <c r="AP10">
        <v>18.38</v>
      </c>
      <c r="AQ10">
        <v>19.2</v>
      </c>
      <c r="AR10">
        <v>12.13</v>
      </c>
      <c r="AS10">
        <v>20.34</v>
      </c>
      <c r="AU10">
        <v>18.34</v>
      </c>
      <c r="AV10">
        <v>19.48</v>
      </c>
      <c r="AW10">
        <v>20.85</v>
      </c>
      <c r="AY10">
        <v>6.7</v>
      </c>
      <c r="AZ10">
        <v>6.7</v>
      </c>
      <c r="BA10">
        <v>18.648</v>
      </c>
      <c r="BB10">
        <v>18.648</v>
      </c>
    </row>
    <row r="11" spans="1:55" x14ac:dyDescent="0.45">
      <c r="A11" t="s">
        <v>166</v>
      </c>
      <c r="B11" s="3">
        <f>1/B10</f>
        <v>5.2631578947368418E-2</v>
      </c>
      <c r="C11" s="3">
        <f t="shared" ref="C11:BB11" si="0">1/C10</f>
        <v>5.181347150259067E-2</v>
      </c>
      <c r="D11" s="3">
        <f t="shared" si="0"/>
        <v>5.2631578947368418E-2</v>
      </c>
      <c r="E11" s="3">
        <f t="shared" si="0"/>
        <v>5.2083333333333336E-2</v>
      </c>
      <c r="F11" s="3">
        <f t="shared" si="0"/>
        <v>5.3475935828877004E-2</v>
      </c>
      <c r="G11" s="3">
        <f t="shared" si="0"/>
        <v>5.2083333333333336E-2</v>
      </c>
      <c r="H11" s="3">
        <f t="shared" si="0"/>
        <v>5.3475935828877004E-2</v>
      </c>
      <c r="I11" s="3">
        <f t="shared" si="0"/>
        <v>5.2083333333333336E-2</v>
      </c>
      <c r="J11" s="3">
        <f>1/J10</f>
        <v>5.3763440860215048E-2</v>
      </c>
      <c r="K11" s="3">
        <f t="shared" si="0"/>
        <v>5.3763440860215048E-2</v>
      </c>
      <c r="L11" s="3"/>
      <c r="M11" s="3">
        <f t="shared" si="0"/>
        <v>5.5617352614015569E-2</v>
      </c>
      <c r="N11" s="3">
        <f t="shared" si="0"/>
        <v>6.0096153846153841E-2</v>
      </c>
      <c r="O11" s="3">
        <f t="shared" si="0"/>
        <v>5.7537399309551214E-2</v>
      </c>
      <c r="P11" s="3">
        <f t="shared" si="0"/>
        <v>6.4226075786769421E-2</v>
      </c>
      <c r="Q11" s="3">
        <f t="shared" si="0"/>
        <v>6.0606060606060608E-2</v>
      </c>
      <c r="R11" s="3">
        <f t="shared" si="0"/>
        <v>5.4347826086956527E-2</v>
      </c>
      <c r="S11" s="3"/>
      <c r="T11" s="3">
        <f t="shared" si="0"/>
        <v>5.5248618784530384E-2</v>
      </c>
      <c r="U11" s="3">
        <f t="shared" si="0"/>
        <v>6.9108500345542501E-2</v>
      </c>
      <c r="V11" s="3">
        <f t="shared" si="0"/>
        <v>6.269592476489029E-2</v>
      </c>
      <c r="W11" s="3">
        <f t="shared" si="0"/>
        <v>5.6593095642331628E-2</v>
      </c>
      <c r="X11" s="3">
        <f t="shared" si="0"/>
        <v>5.8685446009389672E-2</v>
      </c>
      <c r="Y11" s="3">
        <f t="shared" si="0"/>
        <v>6.0240963855421679E-2</v>
      </c>
      <c r="Z11" s="3">
        <f t="shared" si="0"/>
        <v>4.9504950495049507E-2</v>
      </c>
      <c r="AA11" s="3">
        <f t="shared" si="0"/>
        <v>5.7142857142857141E-2</v>
      </c>
      <c r="AB11" s="3">
        <f t="shared" si="0"/>
        <v>5.8139534883720929E-2</v>
      </c>
      <c r="AC11" s="3">
        <f t="shared" si="0"/>
        <v>5.8139534883720929E-2</v>
      </c>
      <c r="AD11" s="3">
        <f t="shared" si="0"/>
        <v>5.9880239520958084E-2</v>
      </c>
      <c r="AE11" s="3"/>
      <c r="AF11" s="3">
        <f t="shared" si="0"/>
        <v>5.3475935828877004E-2</v>
      </c>
      <c r="AG11" s="3"/>
      <c r="AH11" s="3"/>
      <c r="AI11" s="3">
        <f t="shared" si="0"/>
        <v>5.3475935828877004E-2</v>
      </c>
      <c r="AJ11" s="3"/>
      <c r="AK11" s="3">
        <f t="shared" si="0"/>
        <v>5.3276505061267979E-2</v>
      </c>
      <c r="AL11" s="3">
        <f t="shared" si="0"/>
        <v>5.3276505061267979E-2</v>
      </c>
      <c r="AM11" s="3">
        <f t="shared" si="0"/>
        <v>5.5648302726766838E-2</v>
      </c>
      <c r="AN11" s="3">
        <f t="shared" si="0"/>
        <v>5.5648302726766838E-2</v>
      </c>
      <c r="AO11" s="3">
        <f t="shared" si="0"/>
        <v>5.4406964091403699E-2</v>
      </c>
      <c r="AP11" s="3">
        <f t="shared" si="0"/>
        <v>5.4406964091403699E-2</v>
      </c>
      <c r="AQ11" s="3">
        <f t="shared" si="0"/>
        <v>5.2083333333333336E-2</v>
      </c>
      <c r="AR11" s="3">
        <f t="shared" si="0"/>
        <v>8.244023083264633E-2</v>
      </c>
      <c r="AS11" s="3">
        <f t="shared" si="0"/>
        <v>4.9164208456243856E-2</v>
      </c>
      <c r="AU11">
        <f t="shared" si="0"/>
        <v>5.4525627044711013E-2</v>
      </c>
      <c r="AV11">
        <f t="shared" si="0"/>
        <v>5.1334702258726897E-2</v>
      </c>
      <c r="AW11">
        <f t="shared" si="0"/>
        <v>4.7961630695443645E-2</v>
      </c>
      <c r="AY11">
        <f t="shared" si="0"/>
        <v>0.14925373134328357</v>
      </c>
      <c r="AZ11">
        <f t="shared" si="0"/>
        <v>0.14925373134328357</v>
      </c>
      <c r="BA11">
        <f t="shared" si="0"/>
        <v>5.3625053625053626E-2</v>
      </c>
      <c r="BB11">
        <f t="shared" si="0"/>
        <v>5.3625053625053626E-2</v>
      </c>
    </row>
    <row r="12" spans="1:55" x14ac:dyDescent="0.45">
      <c r="A12" t="s">
        <v>167</v>
      </c>
      <c r="B12" s="3">
        <f>B11</f>
        <v>5.2631578947368418E-2</v>
      </c>
      <c r="C12" s="3">
        <f t="shared" ref="C12:BB12" si="1">C11</f>
        <v>5.181347150259067E-2</v>
      </c>
      <c r="D12" s="3">
        <f t="shared" si="1"/>
        <v>5.2631578947368418E-2</v>
      </c>
      <c r="E12" s="3">
        <f t="shared" si="1"/>
        <v>5.2083333333333336E-2</v>
      </c>
      <c r="F12" s="3">
        <f t="shared" si="1"/>
        <v>5.3475935828877004E-2</v>
      </c>
      <c r="G12" s="3">
        <f t="shared" si="1"/>
        <v>5.2083333333333336E-2</v>
      </c>
      <c r="H12" s="3">
        <f t="shared" si="1"/>
        <v>5.3475935828877004E-2</v>
      </c>
      <c r="I12" s="3">
        <f t="shared" si="1"/>
        <v>5.2083333333333336E-2</v>
      </c>
      <c r="J12" s="3">
        <f t="shared" si="1"/>
        <v>5.3763440860215048E-2</v>
      </c>
      <c r="K12" s="3">
        <f t="shared" si="1"/>
        <v>5.3763440860215048E-2</v>
      </c>
      <c r="L12" s="3"/>
      <c r="M12" s="3">
        <f t="shared" si="1"/>
        <v>5.5617352614015569E-2</v>
      </c>
      <c r="N12" s="3">
        <f t="shared" si="1"/>
        <v>6.0096153846153841E-2</v>
      </c>
      <c r="O12" s="3">
        <f t="shared" si="1"/>
        <v>5.7537399309551214E-2</v>
      </c>
      <c r="P12" s="3">
        <f t="shared" si="1"/>
        <v>6.4226075786769421E-2</v>
      </c>
      <c r="Q12" s="3">
        <f t="shared" si="1"/>
        <v>6.0606060606060608E-2</v>
      </c>
      <c r="R12" s="3">
        <f t="shared" si="1"/>
        <v>5.4347826086956527E-2</v>
      </c>
      <c r="S12" s="3"/>
      <c r="T12" s="3">
        <f t="shared" si="1"/>
        <v>5.5248618784530384E-2</v>
      </c>
      <c r="U12" s="3">
        <f t="shared" si="1"/>
        <v>6.9108500345542501E-2</v>
      </c>
      <c r="V12" s="3">
        <f t="shared" si="1"/>
        <v>6.269592476489029E-2</v>
      </c>
      <c r="W12" s="3">
        <f t="shared" si="1"/>
        <v>5.6593095642331628E-2</v>
      </c>
      <c r="X12" s="3">
        <f t="shared" si="1"/>
        <v>5.8685446009389672E-2</v>
      </c>
      <c r="Y12" s="3">
        <f t="shared" si="1"/>
        <v>6.0240963855421679E-2</v>
      </c>
      <c r="Z12" s="3">
        <f t="shared" si="1"/>
        <v>4.9504950495049507E-2</v>
      </c>
      <c r="AA12" s="3">
        <f t="shared" si="1"/>
        <v>5.7142857142857141E-2</v>
      </c>
      <c r="AB12" s="3">
        <f t="shared" si="1"/>
        <v>5.8139534883720929E-2</v>
      </c>
      <c r="AC12" s="3">
        <f t="shared" si="1"/>
        <v>5.8139534883720929E-2</v>
      </c>
      <c r="AD12" s="3">
        <f t="shared" si="1"/>
        <v>5.9880239520958084E-2</v>
      </c>
      <c r="AE12" s="3"/>
      <c r="AF12" s="3">
        <f t="shared" si="1"/>
        <v>5.3475935828877004E-2</v>
      </c>
      <c r="AG12" s="3"/>
      <c r="AH12" s="3"/>
      <c r="AI12" s="3">
        <f t="shared" si="1"/>
        <v>5.3475935828877004E-2</v>
      </c>
      <c r="AJ12" s="3"/>
      <c r="AK12" s="3">
        <f t="shared" si="1"/>
        <v>5.3276505061267979E-2</v>
      </c>
      <c r="AL12" s="3">
        <f t="shared" si="1"/>
        <v>5.3276505061267979E-2</v>
      </c>
      <c r="AM12" s="3">
        <f t="shared" si="1"/>
        <v>5.5648302726766838E-2</v>
      </c>
      <c r="AN12" s="3">
        <f t="shared" si="1"/>
        <v>5.5648302726766838E-2</v>
      </c>
      <c r="AO12" s="3">
        <f t="shared" si="1"/>
        <v>5.4406964091403699E-2</v>
      </c>
      <c r="AP12" s="3">
        <f t="shared" si="1"/>
        <v>5.4406964091403699E-2</v>
      </c>
      <c r="AQ12" s="3">
        <f t="shared" si="1"/>
        <v>5.2083333333333336E-2</v>
      </c>
      <c r="AR12" s="3">
        <f t="shared" si="1"/>
        <v>8.244023083264633E-2</v>
      </c>
      <c r="AS12" s="3">
        <f t="shared" si="1"/>
        <v>4.9164208456243856E-2</v>
      </c>
      <c r="AT12" s="3"/>
      <c r="AU12" s="3">
        <f t="shared" si="1"/>
        <v>5.4525627044711013E-2</v>
      </c>
      <c r="AV12" s="3">
        <f t="shared" si="1"/>
        <v>5.1334702258726897E-2</v>
      </c>
      <c r="AW12" s="3">
        <f t="shared" si="1"/>
        <v>4.7961630695443645E-2</v>
      </c>
      <c r="AX12" s="3"/>
      <c r="AY12" s="3">
        <f t="shared" si="1"/>
        <v>0.14925373134328357</v>
      </c>
      <c r="AZ12" s="3">
        <f t="shared" si="1"/>
        <v>0.14925373134328357</v>
      </c>
      <c r="BA12" s="3">
        <f t="shared" si="1"/>
        <v>5.3625053625053626E-2</v>
      </c>
      <c r="BB12" s="3">
        <f t="shared" si="1"/>
        <v>5.3625053625053626E-2</v>
      </c>
    </row>
    <row r="13" spans="1:55" x14ac:dyDescent="0.45">
      <c r="A13" t="s">
        <v>168</v>
      </c>
      <c r="B13" s="5">
        <f>B12*3.6</f>
        <v>0.18947368421052632</v>
      </c>
      <c r="C13" s="5">
        <f t="shared" ref="C13:BB13" si="2">C12*3.6</f>
        <v>0.18652849740932642</v>
      </c>
      <c r="D13" s="5">
        <f t="shared" si="2"/>
        <v>0.18947368421052632</v>
      </c>
      <c r="E13" s="5">
        <f t="shared" si="2"/>
        <v>0.1875</v>
      </c>
      <c r="F13" s="5">
        <f t="shared" si="2"/>
        <v>0.19251336898395721</v>
      </c>
      <c r="G13" s="5">
        <f t="shared" si="2"/>
        <v>0.1875</v>
      </c>
      <c r="H13" s="5">
        <f t="shared" si="2"/>
        <v>0.19251336898395721</v>
      </c>
      <c r="I13" s="5">
        <f t="shared" si="2"/>
        <v>0.1875</v>
      </c>
      <c r="J13" s="5">
        <f t="shared" si="2"/>
        <v>0.19354838709677419</v>
      </c>
      <c r="K13" s="5">
        <f t="shared" si="2"/>
        <v>0.19354838709677419</v>
      </c>
      <c r="L13" s="5"/>
      <c r="M13" s="5">
        <f t="shared" si="2"/>
        <v>0.20022246941045604</v>
      </c>
      <c r="N13" s="5">
        <f t="shared" si="2"/>
        <v>0.21634615384615383</v>
      </c>
      <c r="O13" s="5">
        <f t="shared" si="2"/>
        <v>0.20713463751438438</v>
      </c>
      <c r="P13" s="5">
        <f t="shared" si="2"/>
        <v>0.23121387283236991</v>
      </c>
      <c r="Q13" s="5">
        <f t="shared" si="2"/>
        <v>0.2181818181818182</v>
      </c>
      <c r="R13" s="5">
        <f t="shared" si="2"/>
        <v>0.19565217391304351</v>
      </c>
      <c r="S13" s="5"/>
      <c r="T13" s="5">
        <f t="shared" si="2"/>
        <v>0.19889502762430938</v>
      </c>
      <c r="U13" s="5">
        <f t="shared" si="2"/>
        <v>0.248790601243953</v>
      </c>
      <c r="V13" s="5">
        <f t="shared" si="2"/>
        <v>0.22570532915360506</v>
      </c>
      <c r="W13" s="5">
        <f t="shared" si="2"/>
        <v>0.20373514431239387</v>
      </c>
      <c r="X13" s="5">
        <f t="shared" si="2"/>
        <v>0.21126760563380281</v>
      </c>
      <c r="Y13" s="5">
        <f t="shared" si="2"/>
        <v>0.21686746987951805</v>
      </c>
      <c r="Z13" s="5">
        <f t="shared" si="2"/>
        <v>0.17821782178217824</v>
      </c>
      <c r="AA13" s="5">
        <f t="shared" si="2"/>
        <v>0.20571428571428571</v>
      </c>
      <c r="AB13" s="5">
        <f t="shared" si="2"/>
        <v>0.20930232558139536</v>
      </c>
      <c r="AC13" s="5">
        <f t="shared" si="2"/>
        <v>0.20930232558139536</v>
      </c>
      <c r="AD13" s="5">
        <f t="shared" si="2"/>
        <v>0.21556886227544911</v>
      </c>
      <c r="AE13" s="5"/>
      <c r="AF13" s="5">
        <f t="shared" si="2"/>
        <v>0.19251336898395721</v>
      </c>
      <c r="AG13" s="5"/>
      <c r="AH13" s="5"/>
      <c r="AI13" s="5">
        <f t="shared" si="2"/>
        <v>0.19251336898395721</v>
      </c>
      <c r="AJ13" s="5"/>
      <c r="AK13" s="5">
        <f t="shared" si="2"/>
        <v>0.19179541822056473</v>
      </c>
      <c r="AL13" s="5">
        <f t="shared" si="2"/>
        <v>0.19179541822056473</v>
      </c>
      <c r="AM13" s="5">
        <f t="shared" si="2"/>
        <v>0.20033388981636063</v>
      </c>
      <c r="AN13" s="5">
        <f t="shared" si="2"/>
        <v>0.20033388981636063</v>
      </c>
      <c r="AO13" s="5">
        <f t="shared" si="2"/>
        <v>0.19586507072905332</v>
      </c>
      <c r="AP13" s="5">
        <f t="shared" si="2"/>
        <v>0.19586507072905332</v>
      </c>
      <c r="AQ13" s="5">
        <f t="shared" si="2"/>
        <v>0.1875</v>
      </c>
      <c r="AR13" s="5">
        <f t="shared" si="2"/>
        <v>0.29678483099752678</v>
      </c>
      <c r="AS13" s="5">
        <f t="shared" si="2"/>
        <v>0.17699115044247787</v>
      </c>
      <c r="AT13" s="5"/>
      <c r="AU13" s="5">
        <f t="shared" si="2"/>
        <v>0.19629225736095965</v>
      </c>
      <c r="AV13" s="5">
        <f t="shared" si="2"/>
        <v>0.18480492813141683</v>
      </c>
      <c r="AW13" s="5">
        <f t="shared" si="2"/>
        <v>0.17266187050359713</v>
      </c>
      <c r="AX13" s="5"/>
      <c r="AY13" s="5">
        <f t="shared" si="2"/>
        <v>0.53731343283582089</v>
      </c>
      <c r="AZ13" s="5">
        <f t="shared" si="2"/>
        <v>0.53731343283582089</v>
      </c>
      <c r="BA13" s="5">
        <f t="shared" si="2"/>
        <v>0.19305019305019305</v>
      </c>
      <c r="BB13" s="5">
        <f t="shared" si="2"/>
        <v>0.19305019305019305</v>
      </c>
    </row>
    <row r="14" spans="1:55" x14ac:dyDescent="0.45">
      <c r="A14" t="s">
        <v>1084</v>
      </c>
      <c r="B14" s="79">
        <f>1/B13</f>
        <v>5.2777777777777777</v>
      </c>
      <c r="C14" s="79">
        <f t="shared" ref="C14:AW14" si="3">1/C13</f>
        <v>5.3611111111111116</v>
      </c>
      <c r="D14" s="79">
        <f t="shared" si="3"/>
        <v>5.2777777777777777</v>
      </c>
      <c r="E14" s="79">
        <f t="shared" si="3"/>
        <v>5.333333333333333</v>
      </c>
      <c r="F14" s="79">
        <f t="shared" si="3"/>
        <v>5.1944444444444446</v>
      </c>
      <c r="G14" s="79">
        <f t="shared" si="3"/>
        <v>5.333333333333333</v>
      </c>
      <c r="H14" s="79">
        <f t="shared" si="3"/>
        <v>5.1944444444444446</v>
      </c>
      <c r="I14" s="79">
        <f t="shared" si="3"/>
        <v>5.333333333333333</v>
      </c>
      <c r="J14" s="79">
        <f t="shared" si="3"/>
        <v>5.166666666666667</v>
      </c>
      <c r="K14" s="79">
        <f t="shared" si="3"/>
        <v>5.166666666666667</v>
      </c>
      <c r="L14" s="79"/>
      <c r="M14" s="79">
        <f t="shared" si="3"/>
        <v>4.9944444444444445</v>
      </c>
      <c r="N14" s="79">
        <f t="shared" si="3"/>
        <v>4.6222222222222227</v>
      </c>
      <c r="O14" s="79">
        <f t="shared" si="3"/>
        <v>4.8277777777777775</v>
      </c>
      <c r="P14" s="79">
        <f t="shared" si="3"/>
        <v>4.3250000000000002</v>
      </c>
      <c r="Q14" s="79">
        <f t="shared" si="3"/>
        <v>4.583333333333333</v>
      </c>
      <c r="R14" s="79">
        <f t="shared" si="3"/>
        <v>5.1111111111111098</v>
      </c>
      <c r="S14" s="79"/>
      <c r="T14" s="79">
        <f t="shared" si="3"/>
        <v>5.0277777777777777</v>
      </c>
      <c r="U14" s="79">
        <f t="shared" si="3"/>
        <v>4.0194444444444448</v>
      </c>
      <c r="V14" s="79">
        <f t="shared" si="3"/>
        <v>4.4305555555555545</v>
      </c>
      <c r="W14" s="79">
        <f t="shared" si="3"/>
        <v>4.9083333333333341</v>
      </c>
      <c r="X14" s="79">
        <f t="shared" si="3"/>
        <v>4.7333333333333334</v>
      </c>
      <c r="Y14" s="79">
        <f t="shared" si="3"/>
        <v>4.6111111111111116</v>
      </c>
      <c r="Z14" s="79">
        <f t="shared" si="3"/>
        <v>5.6111111111111107</v>
      </c>
      <c r="AA14" s="79">
        <f t="shared" si="3"/>
        <v>4.8611111111111116</v>
      </c>
      <c r="AB14" s="79">
        <f t="shared" si="3"/>
        <v>4.7777777777777777</v>
      </c>
      <c r="AC14" s="79">
        <f t="shared" si="3"/>
        <v>4.7777777777777777</v>
      </c>
      <c r="AD14" s="79">
        <f t="shared" si="3"/>
        <v>4.6388888888888884</v>
      </c>
      <c r="AE14" s="79"/>
      <c r="AF14" s="79">
        <f t="shared" si="3"/>
        <v>5.1944444444444446</v>
      </c>
      <c r="AG14" s="79"/>
      <c r="AH14" s="79"/>
      <c r="AI14" s="79">
        <f t="shared" si="3"/>
        <v>5.1944444444444446</v>
      </c>
      <c r="AJ14" s="79"/>
      <c r="AK14" s="79">
        <f t="shared" si="3"/>
        <v>5.2138888888888886</v>
      </c>
      <c r="AL14" s="79">
        <f t="shared" si="3"/>
        <v>5.2138888888888886</v>
      </c>
      <c r="AM14" s="79">
        <f t="shared" si="3"/>
        <v>4.9916666666666663</v>
      </c>
      <c r="AN14" s="79">
        <f t="shared" si="3"/>
        <v>4.9916666666666663</v>
      </c>
      <c r="AO14" s="79">
        <f t="shared" si="3"/>
        <v>5.1055555555555552</v>
      </c>
      <c r="AP14" s="79">
        <f t="shared" si="3"/>
        <v>5.1055555555555552</v>
      </c>
      <c r="AQ14" s="79">
        <f t="shared" si="3"/>
        <v>5.333333333333333</v>
      </c>
      <c r="AR14" s="79">
        <f t="shared" si="3"/>
        <v>3.3694444444444445</v>
      </c>
      <c r="AS14" s="79">
        <f t="shared" si="3"/>
        <v>5.65</v>
      </c>
      <c r="AT14" s="79"/>
      <c r="AU14" s="79">
        <f t="shared" si="3"/>
        <v>5.0944444444444441</v>
      </c>
      <c r="AV14" s="79">
        <f t="shared" si="3"/>
        <v>5.4111111111111114</v>
      </c>
      <c r="AW14" s="79">
        <f t="shared" si="3"/>
        <v>5.7916666666666661</v>
      </c>
      <c r="AX14" s="79"/>
      <c r="AY14" s="79"/>
      <c r="AZ14" s="79"/>
      <c r="BA14" s="79"/>
      <c r="BB14" s="79"/>
      <c r="BC14" s="79">
        <f>COUNT(B14:BB14)</f>
        <v>41</v>
      </c>
    </row>
    <row r="19" spans="1:90" x14ac:dyDescent="0.45">
      <c r="L19" t="s">
        <v>168</v>
      </c>
    </row>
    <row r="20" spans="1:90" x14ac:dyDescent="0.45">
      <c r="J20" t="s">
        <v>293</v>
      </c>
      <c r="L20">
        <v>9.6000000000000002E-2</v>
      </c>
    </row>
    <row r="21" spans="1:90" x14ac:dyDescent="0.45">
      <c r="J21" t="s">
        <v>294</v>
      </c>
      <c r="L21">
        <v>0.28799999999999998</v>
      </c>
    </row>
    <row r="25" spans="1:90" x14ac:dyDescent="0.45">
      <c r="BI25" s="7" t="s">
        <v>179</v>
      </c>
    </row>
    <row r="26" spans="1:90" x14ac:dyDescent="0.45">
      <c r="K26">
        <f>1/L21</f>
        <v>3.4722222222222223</v>
      </c>
    </row>
    <row r="29" spans="1:90" x14ac:dyDescent="0.45">
      <c r="BP29" t="s">
        <v>182</v>
      </c>
    </row>
    <row r="30" spans="1:90" x14ac:dyDescent="0.45">
      <c r="B30" s="12" t="s">
        <v>228</v>
      </c>
      <c r="N30" s="18"/>
      <c r="O30" s="18"/>
      <c r="P30" s="18"/>
      <c r="Q30" s="18"/>
      <c r="R30" s="18"/>
      <c r="S30" s="18"/>
      <c r="T30" s="18"/>
      <c r="U30" s="18"/>
      <c r="V30" s="18"/>
      <c r="W30" s="18"/>
      <c r="X30" s="18"/>
      <c r="Y30" s="18"/>
      <c r="Z30" s="18"/>
      <c r="AA30" s="18"/>
      <c r="AB30" s="18"/>
      <c r="AC30" s="18"/>
      <c r="AD30" s="18"/>
      <c r="AE30" s="18"/>
      <c r="AF30" s="18"/>
      <c r="AG30" s="18"/>
      <c r="AH30" s="18"/>
      <c r="AI30" s="18"/>
      <c r="AJ30" s="18"/>
      <c r="AK30" s="18"/>
      <c r="AL30" s="18"/>
      <c r="AM30" s="18"/>
      <c r="AN30" s="18"/>
      <c r="AO30" s="18"/>
      <c r="AP30" s="18"/>
      <c r="AQ30" s="18"/>
      <c r="AR30" s="18"/>
      <c r="AS30" s="18"/>
      <c r="AT30" s="18"/>
      <c r="AU30" s="18"/>
      <c r="AV30" s="18"/>
      <c r="AW30" s="18"/>
      <c r="AX30" s="18"/>
      <c r="AY30" s="18"/>
      <c r="AZ30" s="18"/>
      <c r="BA30" s="18"/>
      <c r="BB30" s="18"/>
      <c r="BC30" s="18"/>
      <c r="BD30" s="18"/>
      <c r="BE30" s="18"/>
      <c r="BF30" s="18"/>
      <c r="BG30" s="18"/>
    </row>
    <row r="31" spans="1:90" x14ac:dyDescent="0.45">
      <c r="A31" t="s">
        <v>6</v>
      </c>
      <c r="B31" t="s">
        <v>192</v>
      </c>
      <c r="C31" t="s">
        <v>170</v>
      </c>
      <c r="D31" t="s">
        <v>171</v>
      </c>
      <c r="N31" s="18"/>
      <c r="O31" s="18"/>
      <c r="P31" s="18"/>
      <c r="Q31" s="18"/>
      <c r="R31" s="18"/>
      <c r="S31" s="18"/>
      <c r="T31" s="18"/>
      <c r="U31" s="18"/>
      <c r="V31" s="18"/>
      <c r="W31" s="18"/>
      <c r="X31" s="18"/>
      <c r="Y31" s="18"/>
      <c r="Z31" s="18"/>
      <c r="AA31" s="18"/>
      <c r="AB31" s="18"/>
      <c r="AC31" s="18"/>
      <c r="AD31" s="18"/>
      <c r="AE31" s="18"/>
      <c r="AF31" s="18"/>
      <c r="AG31" s="18"/>
      <c r="AH31" s="18"/>
      <c r="AI31" s="18"/>
      <c r="AJ31" s="18"/>
      <c r="AK31" s="18"/>
      <c r="AL31" s="18"/>
      <c r="AM31" s="18"/>
      <c r="AN31" s="18"/>
      <c r="AO31" s="18"/>
      <c r="AP31" s="18"/>
      <c r="AQ31" s="18"/>
      <c r="AR31" s="18"/>
      <c r="AS31" s="18"/>
      <c r="AT31" s="18"/>
      <c r="AU31" s="18"/>
      <c r="AV31" s="18"/>
      <c r="AW31" s="18"/>
      <c r="AX31" s="18"/>
      <c r="AY31" s="18"/>
      <c r="AZ31" s="18"/>
      <c r="BA31" s="18"/>
      <c r="BB31" s="18"/>
      <c r="BC31" s="18"/>
      <c r="BD31" s="18"/>
      <c r="BE31" s="18"/>
      <c r="BF31" s="18"/>
      <c r="BG31" s="18"/>
    </row>
    <row r="32" spans="1:90" x14ac:dyDescent="0.45">
      <c r="B32" t="s">
        <v>68</v>
      </c>
      <c r="C32">
        <v>0.68</v>
      </c>
      <c r="D32">
        <v>1.1499999999999999</v>
      </c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8"/>
      <c r="AE32" s="18"/>
      <c r="AF32" s="18"/>
      <c r="AG32" s="18"/>
      <c r="AH32" s="18"/>
      <c r="AI32" s="18"/>
      <c r="AJ32" s="18"/>
      <c r="AK32" s="18"/>
      <c r="AL32" s="18"/>
      <c r="AM32" s="18"/>
      <c r="AN32" s="18"/>
      <c r="AO32" s="18"/>
      <c r="AP32" s="18"/>
      <c r="AQ32" s="18"/>
      <c r="AR32" s="18"/>
      <c r="AS32" t="s">
        <v>116</v>
      </c>
      <c r="AT32" t="s">
        <v>117</v>
      </c>
      <c r="AU32" t="s">
        <v>118</v>
      </c>
      <c r="AV32" t="s">
        <v>119</v>
      </c>
      <c r="AW32" t="s">
        <v>120</v>
      </c>
      <c r="AX32" t="s">
        <v>121</v>
      </c>
      <c r="AY32" t="s">
        <v>122</v>
      </c>
      <c r="AZ32" t="s">
        <v>123</v>
      </c>
      <c r="BA32" t="s">
        <v>124</v>
      </c>
      <c r="BB32" t="s">
        <v>125</v>
      </c>
      <c r="BC32" t="s">
        <v>126</v>
      </c>
      <c r="BD32" t="s">
        <v>127</v>
      </c>
      <c r="BE32" t="s">
        <v>128</v>
      </c>
      <c r="BF32" t="s">
        <v>129</v>
      </c>
      <c r="BG32" t="s">
        <v>130</v>
      </c>
      <c r="BH32" t="s">
        <v>131</v>
      </c>
      <c r="BI32" t="s">
        <v>132</v>
      </c>
      <c r="BJ32" s="7" t="s">
        <v>133</v>
      </c>
      <c r="BK32" t="s">
        <v>134</v>
      </c>
      <c r="BL32" t="s">
        <v>135</v>
      </c>
      <c r="BM32" t="s">
        <v>136</v>
      </c>
      <c r="BN32" t="s">
        <v>137</v>
      </c>
      <c r="BO32" t="s">
        <v>138</v>
      </c>
      <c r="BP32" t="s">
        <v>139</v>
      </c>
      <c r="BQ32" t="s">
        <v>140</v>
      </c>
      <c r="BR32" t="s">
        <v>141</v>
      </c>
      <c r="BS32" t="s">
        <v>142</v>
      </c>
      <c r="BT32" t="s">
        <v>143</v>
      </c>
      <c r="BU32" t="s">
        <v>146</v>
      </c>
      <c r="BV32" t="s">
        <v>148</v>
      </c>
      <c r="BW32" t="s">
        <v>149</v>
      </c>
      <c r="BX32" t="s">
        <v>150</v>
      </c>
      <c r="BY32" t="s">
        <v>151</v>
      </c>
      <c r="BZ32" t="s">
        <v>152</v>
      </c>
      <c r="CA32" t="s">
        <v>153</v>
      </c>
      <c r="CB32" t="s">
        <v>154</v>
      </c>
      <c r="CC32" s="7" t="s">
        <v>155</v>
      </c>
      <c r="CD32" t="s">
        <v>156</v>
      </c>
      <c r="CE32" t="s">
        <v>157</v>
      </c>
      <c r="CF32" t="s">
        <v>158</v>
      </c>
      <c r="CG32" t="s">
        <v>159</v>
      </c>
      <c r="CH32" t="s">
        <v>160</v>
      </c>
      <c r="CI32" s="7" t="s">
        <v>162</v>
      </c>
      <c r="CJ32" s="7" t="s">
        <v>163</v>
      </c>
      <c r="CK32" t="s">
        <v>164</v>
      </c>
      <c r="CL32" t="s">
        <v>165</v>
      </c>
    </row>
    <row r="33" spans="2:91" x14ac:dyDescent="0.45">
      <c r="B33" t="s">
        <v>70</v>
      </c>
      <c r="C33">
        <v>0.53</v>
      </c>
      <c r="D33">
        <v>1.02</v>
      </c>
      <c r="N33" s="18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8"/>
      <c r="Z33" s="18"/>
      <c r="AA33" s="18"/>
      <c r="AB33" s="18"/>
      <c r="AC33" s="18"/>
      <c r="AD33" s="18"/>
      <c r="AE33" s="18"/>
      <c r="AF33" s="18"/>
      <c r="AG33" s="18"/>
      <c r="AH33" s="18"/>
      <c r="AI33" s="18"/>
      <c r="AJ33" s="18"/>
      <c r="AK33" s="18"/>
      <c r="AL33" s="18"/>
      <c r="AM33" s="18"/>
      <c r="AN33" s="18"/>
      <c r="AO33" s="18"/>
      <c r="AP33" s="18"/>
      <c r="AQ33" s="18"/>
      <c r="AR33" s="18"/>
      <c r="AS33" s="18" t="s">
        <v>116</v>
      </c>
      <c r="AT33" s="18" t="s">
        <v>117</v>
      </c>
      <c r="AU33" s="18" t="s">
        <v>118</v>
      </c>
      <c r="AV33" s="18" t="s">
        <v>119</v>
      </c>
      <c r="AW33" s="18" t="s">
        <v>120</v>
      </c>
      <c r="AX33" s="18" t="s">
        <v>121</v>
      </c>
      <c r="AY33" s="18" t="s">
        <v>122</v>
      </c>
      <c r="AZ33" s="18" t="s">
        <v>123</v>
      </c>
      <c r="BA33" s="18" t="s">
        <v>124</v>
      </c>
      <c r="BB33" s="18" t="s">
        <v>125</v>
      </c>
      <c r="BC33" s="18" t="s">
        <v>126</v>
      </c>
      <c r="BD33" s="18" t="s">
        <v>127</v>
      </c>
      <c r="BE33" s="18" t="s">
        <v>128</v>
      </c>
      <c r="BF33" s="18" t="s">
        <v>129</v>
      </c>
      <c r="BG33" s="18" t="s">
        <v>130</v>
      </c>
      <c r="BH33" t="s">
        <v>131</v>
      </c>
      <c r="BI33" t="s">
        <v>132</v>
      </c>
      <c r="BJ33" s="7" t="s">
        <v>133</v>
      </c>
      <c r="BK33" t="s">
        <v>134</v>
      </c>
      <c r="BL33" t="s">
        <v>135</v>
      </c>
      <c r="BM33" t="s">
        <v>136</v>
      </c>
      <c r="BN33" t="s">
        <v>137</v>
      </c>
      <c r="BO33" t="s">
        <v>138</v>
      </c>
      <c r="BP33" t="s">
        <v>139</v>
      </c>
      <c r="BQ33" t="s">
        <v>140</v>
      </c>
      <c r="BR33" t="s">
        <v>141</v>
      </c>
      <c r="BS33" t="s">
        <v>142</v>
      </c>
      <c r="BT33" t="s">
        <v>143</v>
      </c>
      <c r="BU33" t="s">
        <v>146</v>
      </c>
      <c r="BV33" t="s">
        <v>148</v>
      </c>
      <c r="BW33" t="s">
        <v>149</v>
      </c>
      <c r="BX33" t="s">
        <v>150</v>
      </c>
      <c r="BY33" t="s">
        <v>151</v>
      </c>
      <c r="BZ33" t="s">
        <v>152</v>
      </c>
      <c r="CA33" t="s">
        <v>153</v>
      </c>
      <c r="CB33" t="s">
        <v>154</v>
      </c>
      <c r="CC33" s="7" t="s">
        <v>155</v>
      </c>
      <c r="CD33" t="s">
        <v>156</v>
      </c>
      <c r="CE33" t="s">
        <v>157</v>
      </c>
      <c r="CF33" t="s">
        <v>158</v>
      </c>
      <c r="CG33" t="s">
        <v>159</v>
      </c>
      <c r="CH33" t="s">
        <v>160</v>
      </c>
      <c r="CI33" s="7" t="s">
        <v>162</v>
      </c>
      <c r="CJ33" s="7" t="s">
        <v>163</v>
      </c>
      <c r="CK33" t="s">
        <v>164</v>
      </c>
      <c r="CL33" t="s">
        <v>165</v>
      </c>
      <c r="CM33" t="s">
        <v>181</v>
      </c>
    </row>
    <row r="34" spans="2:91" x14ac:dyDescent="0.45">
      <c r="B34" t="s">
        <v>172</v>
      </c>
      <c r="C34">
        <v>0.53</v>
      </c>
      <c r="D34">
        <v>1.02</v>
      </c>
      <c r="E34" t="s">
        <v>173</v>
      </c>
      <c r="N34" s="18"/>
      <c r="O34" s="18"/>
      <c r="P34" s="18"/>
      <c r="Q34" s="18"/>
      <c r="R34" s="18"/>
      <c r="S34" s="18"/>
      <c r="T34" s="18"/>
      <c r="U34" s="18"/>
      <c r="V34" s="18"/>
      <c r="W34" s="18"/>
      <c r="X34" s="18"/>
      <c r="Y34" s="18"/>
      <c r="Z34" s="18"/>
      <c r="AA34" s="18"/>
      <c r="AB34" s="18"/>
      <c r="AC34" s="18"/>
      <c r="AD34" s="18"/>
      <c r="AE34" s="18"/>
      <c r="AF34" s="18"/>
      <c r="AG34" s="18"/>
      <c r="AH34" s="18"/>
      <c r="AI34" s="18"/>
      <c r="AJ34" s="18"/>
      <c r="AK34" s="18"/>
      <c r="AL34" s="18"/>
      <c r="AM34" s="18"/>
      <c r="AN34" s="18"/>
      <c r="AO34" s="18"/>
      <c r="AP34" s="18"/>
      <c r="AQ34" s="18"/>
      <c r="AR34" s="18" t="s">
        <v>92</v>
      </c>
      <c r="AS34" s="18">
        <v>1682.5202999999999</v>
      </c>
      <c r="AT34" s="18">
        <v>458.79960000000005</v>
      </c>
      <c r="AU34" s="18">
        <v>3375.6844000000006</v>
      </c>
      <c r="AV34" s="18">
        <v>498</v>
      </c>
      <c r="AW34" s="18">
        <v>283.7912</v>
      </c>
      <c r="AX34" s="18">
        <v>102.78719999999998</v>
      </c>
      <c r="AY34" s="18">
        <v>302.03491999999994</v>
      </c>
      <c r="AZ34" s="18">
        <v>91.631999999999991</v>
      </c>
      <c r="BA34" s="18">
        <v>0</v>
      </c>
      <c r="BB34" s="18">
        <v>0</v>
      </c>
      <c r="BC34" s="18">
        <v>15317.912048514205</v>
      </c>
      <c r="BD34" s="18">
        <v>21244.066873484382</v>
      </c>
      <c r="BE34" s="18">
        <v>0</v>
      </c>
      <c r="BF34" s="18">
        <v>0</v>
      </c>
      <c r="BG34" s="18">
        <v>8584.6822653674553</v>
      </c>
      <c r="BH34">
        <v>0</v>
      </c>
      <c r="BI34">
        <v>0</v>
      </c>
      <c r="BJ34">
        <v>0</v>
      </c>
      <c r="BK34">
        <v>91329.871664336271</v>
      </c>
      <c r="BL34">
        <v>6336.3653438054116</v>
      </c>
      <c r="BM34">
        <v>0</v>
      </c>
      <c r="BN34">
        <v>2096.2182049591556</v>
      </c>
      <c r="BO34">
        <v>0</v>
      </c>
      <c r="BP34">
        <v>0</v>
      </c>
      <c r="BQ34">
        <v>64.423146898944566</v>
      </c>
      <c r="BR34">
        <v>0</v>
      </c>
      <c r="BS34">
        <v>0</v>
      </c>
      <c r="BT34">
        <v>0</v>
      </c>
      <c r="BU34">
        <v>23055.299104894053</v>
      </c>
      <c r="BV34">
        <v>667.29917796762254</v>
      </c>
      <c r="BW34">
        <v>295.02918158526273</v>
      </c>
      <c r="BX34">
        <v>1107.355351656136</v>
      </c>
      <c r="BY34">
        <v>611.98660506454326</v>
      </c>
      <c r="BZ34">
        <v>240.75838240747623</v>
      </c>
      <c r="CA34">
        <v>388658.52741329715</v>
      </c>
      <c r="CB34">
        <v>0</v>
      </c>
      <c r="CC34">
        <v>0</v>
      </c>
      <c r="CD34">
        <v>0</v>
      </c>
      <c r="CE34">
        <v>0</v>
      </c>
      <c r="CF34">
        <v>0</v>
      </c>
      <c r="CG34">
        <v>0</v>
      </c>
      <c r="CH34">
        <v>1904818.9933080901</v>
      </c>
      <c r="CI34">
        <v>651116.66952629434</v>
      </c>
      <c r="CJ34">
        <v>511591.66888936382</v>
      </c>
      <c r="CK34">
        <v>220026.44278542858</v>
      </c>
      <c r="CL34">
        <v>1086477.148943769</v>
      </c>
    </row>
    <row r="35" spans="2:91" x14ac:dyDescent="0.45"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8"/>
      <c r="AD35" s="18"/>
      <c r="AE35" s="18"/>
      <c r="AF35" s="18"/>
      <c r="AG35" s="18"/>
      <c r="AH35" s="18"/>
      <c r="AI35" s="18"/>
      <c r="AJ35" s="18"/>
      <c r="AK35" s="18"/>
      <c r="AL35" s="18"/>
      <c r="AM35" s="18"/>
      <c r="AN35" s="18"/>
      <c r="AO35" s="18"/>
      <c r="AP35" s="18"/>
      <c r="AQ35" s="18"/>
      <c r="AR35" s="18" t="s">
        <v>92</v>
      </c>
      <c r="AS35" s="18">
        <v>40716.365399999995</v>
      </c>
      <c r="AT35" s="18">
        <v>19560.588599999999</v>
      </c>
      <c r="AU35" s="18">
        <v>79943.373999999982</v>
      </c>
      <c r="AV35" s="18">
        <v>7201.4784</v>
      </c>
      <c r="AW35" s="18">
        <v>9613.4268999999986</v>
      </c>
      <c r="AX35" s="18">
        <v>4209.4944000000005</v>
      </c>
      <c r="AY35" s="18">
        <v>10121.210439999999</v>
      </c>
      <c r="AZ35" s="18">
        <v>1294.8</v>
      </c>
      <c r="BA35" s="18">
        <v>0</v>
      </c>
      <c r="BB35" s="18">
        <v>0</v>
      </c>
      <c r="BC35" s="18">
        <v>35361.643886066522</v>
      </c>
      <c r="BD35" s="18">
        <v>48983.44425221745</v>
      </c>
      <c r="BE35" s="18">
        <v>0</v>
      </c>
      <c r="BF35" s="18">
        <v>0</v>
      </c>
      <c r="BG35" s="18">
        <v>19793.275379316128</v>
      </c>
      <c r="BH35">
        <v>0</v>
      </c>
      <c r="BI35">
        <v>0</v>
      </c>
      <c r="BJ35">
        <v>0</v>
      </c>
      <c r="BK35">
        <v>173515.0321735786</v>
      </c>
      <c r="BL35">
        <v>12038.280755881915</v>
      </c>
      <c r="BM35">
        <v>0</v>
      </c>
      <c r="BN35">
        <v>3982.5454985103343</v>
      </c>
      <c r="BO35">
        <v>0</v>
      </c>
      <c r="BP35">
        <v>0</v>
      </c>
      <c r="BQ35">
        <v>122.39570912764823</v>
      </c>
      <c r="BR35">
        <v>0</v>
      </c>
      <c r="BS35">
        <v>0</v>
      </c>
      <c r="BT35">
        <v>0</v>
      </c>
      <c r="BU35">
        <v>69265.394883797111</v>
      </c>
      <c r="BV35">
        <v>2596.3931084426472</v>
      </c>
      <c r="BW35">
        <v>1147.9284841777767</v>
      </c>
      <c r="BX35">
        <v>4308.6068416775133</v>
      </c>
      <c r="BY35">
        <v>2381.1775232336313</v>
      </c>
      <c r="BZ35">
        <v>936.7663343845669</v>
      </c>
      <c r="CA35">
        <v>287466.0457492416</v>
      </c>
      <c r="CB35">
        <v>0</v>
      </c>
      <c r="CC35">
        <v>0</v>
      </c>
      <c r="CD35">
        <v>0</v>
      </c>
      <c r="CE35">
        <v>0</v>
      </c>
      <c r="CF35">
        <v>0</v>
      </c>
      <c r="CG35">
        <v>0</v>
      </c>
      <c r="CH35">
        <v>158808.87669475505</v>
      </c>
      <c r="CI35">
        <v>481589.67438894557</v>
      </c>
      <c r="CJ35">
        <v>378391.88700202125</v>
      </c>
      <c r="CK35">
        <v>162739.59475662536</v>
      </c>
      <c r="CL35">
        <v>803598.18889528431</v>
      </c>
    </row>
    <row r="36" spans="2:91" x14ac:dyDescent="0.45">
      <c r="N36" s="18"/>
      <c r="O36" s="18"/>
      <c r="P36" s="18"/>
      <c r="Q36" s="18"/>
      <c r="R36" s="18"/>
      <c r="S36" s="18"/>
      <c r="T36" s="18"/>
      <c r="U36" s="18"/>
      <c r="V36" s="18"/>
      <c r="W36" s="18"/>
      <c r="X36" s="18"/>
      <c r="Y36" s="18"/>
      <c r="Z36" s="18"/>
      <c r="AA36" s="18"/>
      <c r="AB36" s="18"/>
      <c r="AC36" s="18"/>
      <c r="AD36" s="18"/>
      <c r="AE36" s="18"/>
      <c r="AF36" s="18"/>
      <c r="AG36" s="18"/>
      <c r="AH36" s="18"/>
      <c r="AI36" s="18"/>
      <c r="AJ36" s="18"/>
      <c r="AK36" s="18"/>
      <c r="AL36" s="18"/>
      <c r="AM36" s="18"/>
      <c r="AN36" s="18"/>
      <c r="AO36" s="18"/>
      <c r="AP36" s="18"/>
      <c r="AQ36" s="18"/>
      <c r="AR36" s="18" t="s">
        <v>92</v>
      </c>
      <c r="AS36" s="18">
        <v>464372.47350000002</v>
      </c>
      <c r="AT36" s="18">
        <v>531520.14720000001</v>
      </c>
      <c r="AU36" s="18">
        <v>453260.29120000004</v>
      </c>
      <c r="AV36" s="18">
        <v>172491.264</v>
      </c>
      <c r="AW36" s="18">
        <v>62284.060080000003</v>
      </c>
      <c r="AX36" s="18">
        <v>58024.569599999995</v>
      </c>
      <c r="AY36" s="18">
        <v>25341.54062</v>
      </c>
      <c r="AZ36" s="18">
        <v>12945.6096</v>
      </c>
      <c r="BA36" s="18">
        <v>0</v>
      </c>
      <c r="BB36" s="18">
        <v>0</v>
      </c>
      <c r="BC36" s="18">
        <v>136302.29680276115</v>
      </c>
      <c r="BD36" s="18">
        <v>189035.41277292121</v>
      </c>
      <c r="BE36" s="18">
        <v>0</v>
      </c>
      <c r="BF36" s="18">
        <v>0</v>
      </c>
      <c r="BG36" s="18">
        <v>77641.171336244661</v>
      </c>
      <c r="BH36">
        <v>0</v>
      </c>
      <c r="BI36">
        <v>0</v>
      </c>
      <c r="BJ36">
        <v>0</v>
      </c>
      <c r="BK36">
        <v>719052.61408641364</v>
      </c>
      <c r="BL36">
        <v>49887.073979640743</v>
      </c>
      <c r="BM36">
        <v>0</v>
      </c>
      <c r="BN36">
        <v>16503.813620927242</v>
      </c>
      <c r="BO36">
        <v>0</v>
      </c>
      <c r="BP36">
        <v>0</v>
      </c>
      <c r="BQ36">
        <v>507.21227722307418</v>
      </c>
      <c r="BR36">
        <v>0</v>
      </c>
      <c r="BS36">
        <v>0</v>
      </c>
      <c r="BT36">
        <v>0</v>
      </c>
      <c r="BU36">
        <v>74967.781910449412</v>
      </c>
      <c r="BV36">
        <v>11327.544638255253</v>
      </c>
      <c r="BW36">
        <v>5008.1827377241571</v>
      </c>
      <c r="BX36">
        <v>18797.591231116883</v>
      </c>
      <c r="BY36">
        <v>10388.602018057883</v>
      </c>
      <c r="BZ36">
        <v>4086.9244467841277</v>
      </c>
      <c r="CA36">
        <v>247450.84548483309</v>
      </c>
      <c r="CB36">
        <v>0</v>
      </c>
      <c r="CC36">
        <v>0</v>
      </c>
      <c r="CD36">
        <v>0</v>
      </c>
      <c r="CE36">
        <v>0</v>
      </c>
      <c r="CF36">
        <v>0</v>
      </c>
      <c r="CG36">
        <v>0</v>
      </c>
      <c r="CH36">
        <v>658109.77007027681</v>
      </c>
      <c r="CI36">
        <v>414552.51335377293</v>
      </c>
      <c r="CJ36">
        <v>325719.8319054438</v>
      </c>
      <c r="CK36">
        <v>140086.2842712187</v>
      </c>
      <c r="CL36">
        <v>691737.52397363889</v>
      </c>
    </row>
    <row r="37" spans="2:91" x14ac:dyDescent="0.45">
      <c r="B37" t="s">
        <v>193</v>
      </c>
      <c r="C37" s="153" t="s">
        <v>174</v>
      </c>
      <c r="D37" s="153"/>
      <c r="I37" s="7" t="s">
        <v>239</v>
      </c>
      <c r="N37" s="18"/>
      <c r="O37" s="18"/>
      <c r="P37" s="18"/>
      <c r="Q37" s="18"/>
      <c r="R37" s="18"/>
      <c r="S37" s="18"/>
      <c r="T37" s="18"/>
      <c r="U37" s="18"/>
      <c r="V37" s="18"/>
      <c r="W37" s="18"/>
      <c r="X37" s="18"/>
      <c r="Y37" s="18"/>
      <c r="Z37" s="18"/>
      <c r="AA37" s="18"/>
      <c r="AB37" s="18"/>
      <c r="AC37" s="18"/>
      <c r="AD37" s="18"/>
      <c r="AE37" s="18"/>
      <c r="AF37" s="18"/>
      <c r="AG37" s="18"/>
      <c r="AH37" s="18"/>
      <c r="AI37" s="18"/>
      <c r="AJ37" s="18"/>
      <c r="AK37" s="18"/>
      <c r="AL37" s="18"/>
      <c r="AM37" s="18"/>
      <c r="AN37" s="18"/>
      <c r="AO37" s="18"/>
      <c r="AP37" s="18"/>
      <c r="AQ37" s="18"/>
      <c r="AR37" s="18" t="s">
        <v>92</v>
      </c>
      <c r="AS37" s="18">
        <v>156637.1115</v>
      </c>
      <c r="AT37" s="18">
        <v>455923.59120000002</v>
      </c>
      <c r="AU37" s="18">
        <v>126048.54980000001</v>
      </c>
      <c r="AV37" s="18">
        <v>86891.836800000005</v>
      </c>
      <c r="AW37" s="18">
        <v>33002.889479999998</v>
      </c>
      <c r="AX37" s="18">
        <v>82546.886400000003</v>
      </c>
      <c r="AY37" s="18">
        <v>11680.034959999999</v>
      </c>
      <c r="AZ37" s="18">
        <v>11798.2176</v>
      </c>
      <c r="BA37" s="18">
        <v>0</v>
      </c>
      <c r="BB37" s="18">
        <v>0</v>
      </c>
      <c r="BC37" s="18">
        <v>51556.941913577211</v>
      </c>
      <c r="BD37" s="18">
        <v>71743.312445683347</v>
      </c>
      <c r="BE37" s="18">
        <v>0</v>
      </c>
      <c r="BF37" s="18">
        <v>0</v>
      </c>
      <c r="BG37" s="18">
        <v>30655.382223884095</v>
      </c>
      <c r="BH37">
        <v>0</v>
      </c>
      <c r="BI37">
        <v>0</v>
      </c>
      <c r="BJ37">
        <v>0</v>
      </c>
      <c r="BK37">
        <v>298951.51606686367</v>
      </c>
      <c r="BL37">
        <v>20740.925081403129</v>
      </c>
      <c r="BM37">
        <v>0</v>
      </c>
      <c r="BN37">
        <v>6861.5842654710368</v>
      </c>
      <c r="BO37">
        <v>0</v>
      </c>
      <c r="BP37">
        <v>0</v>
      </c>
      <c r="BQ37">
        <v>210.87730754754153</v>
      </c>
      <c r="BR37">
        <v>0</v>
      </c>
      <c r="BS37">
        <v>0</v>
      </c>
      <c r="BT37">
        <v>0</v>
      </c>
      <c r="BU37">
        <v>17059.34339667558</v>
      </c>
      <c r="BV37">
        <v>4318.914540671668</v>
      </c>
      <c r="BW37">
        <v>1909.4970656967826</v>
      </c>
      <c r="BX37">
        <v>7167.0598254360684</v>
      </c>
      <c r="BY37">
        <v>3960.9187821264622</v>
      </c>
      <c r="BZ37">
        <v>1558.2439075306193</v>
      </c>
      <c r="CA37">
        <v>22855.577533666747</v>
      </c>
      <c r="CB37">
        <v>0</v>
      </c>
      <c r="CC37">
        <v>0</v>
      </c>
      <c r="CD37">
        <v>0</v>
      </c>
      <c r="CE37">
        <v>0</v>
      </c>
      <c r="CF37">
        <v>0</v>
      </c>
      <c r="CG37">
        <v>0</v>
      </c>
      <c r="CH37">
        <v>273614.07169195043</v>
      </c>
      <c r="CI37">
        <v>38289.774935518086</v>
      </c>
      <c r="CJ37">
        <v>30084.823162201046</v>
      </c>
      <c r="CK37">
        <v>12938.945304911294</v>
      </c>
      <c r="CL37">
        <v>63891.722409604648</v>
      </c>
    </row>
    <row r="38" spans="2:91" x14ac:dyDescent="0.45">
      <c r="B38" t="s">
        <v>68</v>
      </c>
      <c r="C38" s="16">
        <f>C32*0.0133</f>
        <v>9.044E-3</v>
      </c>
      <c r="D38" s="16">
        <f>D32*0.0133</f>
        <v>1.5294999999999998E-2</v>
      </c>
      <c r="I38" s="7" t="s">
        <v>240</v>
      </c>
      <c r="N38" s="18"/>
      <c r="O38" s="18"/>
      <c r="P38" s="18"/>
      <c r="Q38" s="18"/>
      <c r="R38" s="18"/>
      <c r="S38" s="18"/>
      <c r="T38" s="18"/>
      <c r="U38" s="18"/>
      <c r="V38" s="18"/>
      <c r="W38" s="18"/>
      <c r="X38" s="18"/>
      <c r="Y38" s="18"/>
      <c r="Z38" s="18"/>
      <c r="AA38" s="18"/>
      <c r="AB38" s="18"/>
      <c r="AC38" s="18"/>
      <c r="AD38" s="18"/>
      <c r="AE38" s="18"/>
      <c r="AF38" s="18"/>
      <c r="AG38" s="18"/>
      <c r="AH38" s="18"/>
      <c r="AI38" s="18"/>
      <c r="AJ38" s="18"/>
      <c r="AK38" s="18"/>
      <c r="AL38" s="18"/>
      <c r="AM38" s="18"/>
      <c r="AN38" s="18"/>
      <c r="AO38" s="18"/>
      <c r="AP38" s="18"/>
      <c r="AQ38" s="18"/>
      <c r="AR38" s="18" t="s">
        <v>94</v>
      </c>
      <c r="AS38" s="18">
        <v>201367.32570000002</v>
      </c>
      <c r="AT38" s="18">
        <v>217404.54120000001</v>
      </c>
      <c r="AU38" s="18">
        <v>187295.90480000002</v>
      </c>
      <c r="AV38" s="18">
        <v>54254.908799999997</v>
      </c>
      <c r="AW38" s="18">
        <v>47188.395319999989</v>
      </c>
      <c r="AX38" s="18">
        <v>57088.329599999997</v>
      </c>
      <c r="AY38" s="18">
        <v>23306.352299999999</v>
      </c>
      <c r="AZ38" s="18">
        <v>10062.787200000001</v>
      </c>
      <c r="BA38" s="18">
        <v>0</v>
      </c>
      <c r="BB38" s="18">
        <v>0</v>
      </c>
      <c r="BC38" s="18">
        <v>131336.50214344799</v>
      </c>
      <c r="BD38" s="18">
        <v>75209.016701855318</v>
      </c>
      <c r="BE38" s="18">
        <v>0</v>
      </c>
      <c r="BF38" s="18">
        <v>0</v>
      </c>
      <c r="BG38" s="18">
        <v>45458.574652416341</v>
      </c>
      <c r="BH38">
        <v>0</v>
      </c>
      <c r="BI38">
        <v>0</v>
      </c>
      <c r="BJ38">
        <v>0</v>
      </c>
      <c r="BK38">
        <v>411353.9830016339</v>
      </c>
      <c r="BL38">
        <v>28539.283746149074</v>
      </c>
      <c r="BM38">
        <v>0</v>
      </c>
      <c r="BN38">
        <v>9441.4641358485733</v>
      </c>
      <c r="BO38">
        <v>0</v>
      </c>
      <c r="BP38">
        <v>0</v>
      </c>
      <c r="BQ38">
        <v>290.16484520834558</v>
      </c>
      <c r="BR38">
        <v>0</v>
      </c>
      <c r="BS38">
        <v>0</v>
      </c>
      <c r="BT38">
        <v>0</v>
      </c>
      <c r="BU38">
        <v>61036.153398632414</v>
      </c>
      <c r="BV38">
        <v>6565.6899687513924</v>
      </c>
      <c r="BW38">
        <v>2902.8510778673294</v>
      </c>
      <c r="BX38">
        <v>10895.490604912164</v>
      </c>
      <c r="BY38">
        <v>6021.4585099899477</v>
      </c>
      <c r="BZ38">
        <v>2368.8698389829019</v>
      </c>
      <c r="CA38">
        <v>130505.75618768492</v>
      </c>
      <c r="CB38">
        <v>0</v>
      </c>
      <c r="CC38">
        <v>0</v>
      </c>
      <c r="CD38">
        <v>0</v>
      </c>
      <c r="CE38">
        <v>0</v>
      </c>
      <c r="CF38">
        <v>0</v>
      </c>
      <c r="CG38">
        <v>0</v>
      </c>
      <c r="CH38">
        <v>376489.93949441955</v>
      </c>
      <c r="CI38">
        <v>218635.29999311705</v>
      </c>
      <c r="CJ38">
        <v>171784.87855791004</v>
      </c>
      <c r="CK38">
        <v>73881.609205011919</v>
      </c>
      <c r="CL38">
        <v>364822.87816069357</v>
      </c>
    </row>
    <row r="39" spans="2:91" x14ac:dyDescent="0.45">
      <c r="B39" t="s">
        <v>70</v>
      </c>
      <c r="C39" s="16">
        <f t="shared" ref="C39" si="4">C33*0.0133</f>
        <v>7.0489999999999997E-3</v>
      </c>
      <c r="D39" s="16">
        <f>D33*0.0133</f>
        <v>1.3566E-2</v>
      </c>
      <c r="N39" s="18"/>
      <c r="O39" s="18"/>
      <c r="P39" s="18"/>
      <c r="Q39" s="18"/>
      <c r="R39" s="18"/>
      <c r="S39" s="18"/>
      <c r="T39" s="18"/>
      <c r="U39" s="18"/>
      <c r="V39" s="18"/>
      <c r="W39" s="18"/>
      <c r="X39" s="18"/>
      <c r="Y39" s="18"/>
      <c r="Z39" s="18"/>
      <c r="AA39" s="18"/>
      <c r="AB39" s="18"/>
      <c r="AC39" s="18"/>
      <c r="AD39" s="18"/>
      <c r="AE39" s="18"/>
      <c r="AF39" s="18"/>
      <c r="AG39" s="18"/>
      <c r="AH39" s="18"/>
      <c r="AI39" s="18"/>
      <c r="AJ39" s="18"/>
      <c r="AK39" s="18"/>
      <c r="AL39" s="18"/>
      <c r="AM39" s="18"/>
      <c r="AN39" s="18"/>
      <c r="AO39" s="18"/>
      <c r="AP39" s="18"/>
      <c r="AQ39" s="18"/>
      <c r="AR39" s="18" t="s">
        <v>94</v>
      </c>
      <c r="AS39" s="18">
        <v>1380198.6269999999</v>
      </c>
      <c r="AT39" s="18">
        <v>2035838.112</v>
      </c>
      <c r="AU39" s="18">
        <v>1666401.764</v>
      </c>
      <c r="AV39" s="18">
        <v>508133.70239999995</v>
      </c>
      <c r="AW39" s="18">
        <v>328684.94076000003</v>
      </c>
      <c r="AX39" s="18">
        <v>484761.96479999996</v>
      </c>
      <c r="AY39" s="18">
        <v>199903.53481999997</v>
      </c>
      <c r="AZ39" s="18">
        <v>82137.331200000001</v>
      </c>
      <c r="BA39" s="18">
        <v>0</v>
      </c>
      <c r="BB39" s="18">
        <v>0</v>
      </c>
      <c r="BC39" s="18">
        <v>999684.00958206004</v>
      </c>
      <c r="BD39" s="18">
        <v>573698.61878363823</v>
      </c>
      <c r="BE39" s="18">
        <v>0</v>
      </c>
      <c r="BF39" s="18">
        <v>0</v>
      </c>
      <c r="BG39" s="18">
        <v>358280.02900937782</v>
      </c>
      <c r="BH39">
        <v>0</v>
      </c>
      <c r="BI39">
        <v>0</v>
      </c>
      <c r="BJ39">
        <v>0</v>
      </c>
      <c r="BK39">
        <v>3265681.3596433755</v>
      </c>
      <c r="BL39">
        <v>226569.35583142759</v>
      </c>
      <c r="BM39">
        <v>0</v>
      </c>
      <c r="BN39">
        <v>74954.454582392282</v>
      </c>
      <c r="BO39">
        <v>0</v>
      </c>
      <c r="BP39">
        <v>0</v>
      </c>
      <c r="BQ39">
        <v>2303.5778560017879</v>
      </c>
      <c r="BR39">
        <v>0</v>
      </c>
      <c r="BS39">
        <v>0</v>
      </c>
      <c r="BT39">
        <v>0</v>
      </c>
      <c r="BU39">
        <v>197519.08027773121</v>
      </c>
      <c r="BV39">
        <v>46397.329437143992</v>
      </c>
      <c r="BW39">
        <v>20513.386773940525</v>
      </c>
      <c r="BX39">
        <v>76994.44679559728</v>
      </c>
      <c r="BY39">
        <v>42551.444784900195</v>
      </c>
      <c r="BZ39">
        <v>16739.936676282832</v>
      </c>
      <c r="CA39">
        <v>320968.35031448194</v>
      </c>
      <c r="CB39">
        <v>2047.7657088000001</v>
      </c>
      <c r="CC39">
        <v>0</v>
      </c>
      <c r="CD39">
        <v>0</v>
      </c>
      <c r="CE39">
        <v>0</v>
      </c>
      <c r="CF39">
        <v>0</v>
      </c>
      <c r="CG39">
        <v>0</v>
      </c>
      <c r="CH39">
        <v>2988900.6264837948</v>
      </c>
      <c r="CI39">
        <v>537715.82889458816</v>
      </c>
      <c r="CJ39">
        <v>422491.00839723047</v>
      </c>
      <c r="CK39">
        <v>181705.83951900608</v>
      </c>
      <c r="CL39">
        <v>897252.34825328877</v>
      </c>
    </row>
    <row r="40" spans="2:91" x14ac:dyDescent="0.45">
      <c r="B40" t="s">
        <v>172</v>
      </c>
      <c r="C40" s="16">
        <f t="shared" ref="C40" si="5">C34*0.0133</f>
        <v>7.0489999999999997E-3</v>
      </c>
      <c r="D40" s="16">
        <f>D34*0.0133</f>
        <v>1.3566E-2</v>
      </c>
      <c r="N40" s="18"/>
      <c r="O40" s="18"/>
      <c r="P40" s="18"/>
      <c r="Q40" s="18"/>
      <c r="R40" s="18"/>
      <c r="S40" s="18"/>
      <c r="T40" s="18"/>
      <c r="U40" s="18"/>
      <c r="V40" s="18"/>
      <c r="W40" s="18"/>
      <c r="X40" s="18"/>
      <c r="Y40" s="18"/>
      <c r="Z40" s="18"/>
      <c r="AA40" s="18"/>
      <c r="AB40" s="18"/>
      <c r="AC40" s="18"/>
      <c r="AD40" s="18"/>
      <c r="AE40" s="18"/>
      <c r="AF40" s="18"/>
      <c r="AG40" s="18"/>
      <c r="AH40" s="18"/>
      <c r="AI40" s="18"/>
      <c r="AJ40" s="18"/>
      <c r="AK40" s="18"/>
      <c r="AL40" s="18"/>
      <c r="AM40" s="18"/>
      <c r="AN40" s="18"/>
      <c r="AO40" s="18"/>
      <c r="AP40" s="18"/>
      <c r="AQ40" s="18"/>
      <c r="AR40" s="18" t="s">
        <v>96</v>
      </c>
      <c r="AS40" s="18">
        <v>768341.20140000002</v>
      </c>
      <c r="AT40" s="18">
        <v>940328.424</v>
      </c>
      <c r="AU40" s="18">
        <v>681387.76599999995</v>
      </c>
      <c r="AV40" s="18">
        <v>354728.98560000001</v>
      </c>
      <c r="AW40" s="18">
        <v>185637.95931999999</v>
      </c>
      <c r="AX40" s="18">
        <v>253439.76959999997</v>
      </c>
      <c r="AY40" s="18">
        <v>79723.029320000001</v>
      </c>
      <c r="AZ40" s="18">
        <v>65906.515200000009</v>
      </c>
      <c r="BA40" s="18">
        <v>0</v>
      </c>
      <c r="BB40" s="18">
        <v>0</v>
      </c>
      <c r="BC40" s="18">
        <v>324971.87927502557</v>
      </c>
      <c r="BD40" s="18">
        <v>451008.31958262989</v>
      </c>
      <c r="BE40" s="18">
        <v>0</v>
      </c>
      <c r="BF40" s="18">
        <v>0</v>
      </c>
      <c r="BG40" s="18">
        <v>187425.7947378291</v>
      </c>
      <c r="BH40">
        <v>0</v>
      </c>
      <c r="BI40">
        <v>0</v>
      </c>
      <c r="BJ40">
        <v>0</v>
      </c>
      <c r="BK40">
        <v>1771209.2329460059</v>
      </c>
      <c r="BL40">
        <v>122884.53488158967</v>
      </c>
      <c r="BM40">
        <v>0</v>
      </c>
      <c r="BN40">
        <v>40653.085033765572</v>
      </c>
      <c r="BO40">
        <v>0</v>
      </c>
      <c r="BP40">
        <v>0</v>
      </c>
      <c r="BQ40">
        <v>1249.3926743072986</v>
      </c>
      <c r="BR40">
        <v>0</v>
      </c>
      <c r="BS40">
        <v>0</v>
      </c>
      <c r="BT40">
        <v>0</v>
      </c>
      <c r="BU40">
        <v>126260.19955160211</v>
      </c>
      <c r="BV40">
        <v>50939.532088929023</v>
      </c>
      <c r="BW40">
        <v>22521.604939339712</v>
      </c>
      <c r="BX40">
        <v>84532.04399462312</v>
      </c>
      <c r="BY40">
        <v>46717.143278411429</v>
      </c>
      <c r="BZ40">
        <v>18378.741876585045</v>
      </c>
      <c r="CA40">
        <v>267818.61719460372</v>
      </c>
      <c r="CB40">
        <v>2047.7657088000001</v>
      </c>
      <c r="CC40">
        <v>0</v>
      </c>
      <c r="CD40">
        <v>0</v>
      </c>
      <c r="CE40">
        <v>0</v>
      </c>
      <c r="CF40">
        <v>0</v>
      </c>
      <c r="CG40">
        <v>0</v>
      </c>
      <c r="CH40">
        <v>1621091.5282207157</v>
      </c>
      <c r="CI40">
        <v>448674.48826533527</v>
      </c>
      <c r="CJ40">
        <v>352529.9550489767</v>
      </c>
      <c r="CK40">
        <v>151616.83956489095</v>
      </c>
      <c r="CL40">
        <v>748674.70244461228</v>
      </c>
    </row>
    <row r="41" spans="2:91" x14ac:dyDescent="0.45">
      <c r="C41" s="153" t="s">
        <v>231</v>
      </c>
      <c r="D41" s="153"/>
      <c r="N41" s="18"/>
      <c r="O41" s="18"/>
      <c r="P41" s="18"/>
      <c r="Q41" s="18"/>
      <c r="R41" s="18"/>
      <c r="S41" s="18"/>
      <c r="T41" s="18"/>
      <c r="U41" s="18"/>
      <c r="V41" s="18"/>
      <c r="W41" s="18"/>
      <c r="X41" s="18"/>
      <c r="Y41" s="18"/>
      <c r="Z41" s="18"/>
      <c r="AA41" s="18"/>
      <c r="AB41" s="18"/>
      <c r="AC41" s="18"/>
      <c r="AD41" s="18"/>
      <c r="AE41" s="18"/>
      <c r="AF41" s="18"/>
      <c r="AG41" s="18"/>
      <c r="AH41" s="18"/>
      <c r="AI41" s="18"/>
      <c r="AJ41" s="18"/>
      <c r="AK41" s="18"/>
      <c r="AL41" s="18"/>
      <c r="AM41" s="18"/>
      <c r="AN41" s="18"/>
      <c r="AO41" s="18"/>
      <c r="AP41" s="18"/>
      <c r="AQ41" s="18"/>
      <c r="AR41" s="18"/>
      <c r="AS41" s="18"/>
      <c r="AT41" s="18"/>
      <c r="AU41" s="18"/>
      <c r="AV41" s="18"/>
      <c r="AW41" s="18"/>
      <c r="AX41" s="18"/>
      <c r="AY41" s="18"/>
      <c r="AZ41" s="18"/>
      <c r="BA41" s="18"/>
      <c r="BB41" s="18"/>
      <c r="BC41" s="18"/>
      <c r="BD41" s="18"/>
      <c r="BE41" s="18"/>
      <c r="BF41" s="18"/>
      <c r="BG41" s="18"/>
    </row>
    <row r="42" spans="2:91" x14ac:dyDescent="0.45">
      <c r="B42" t="s">
        <v>68</v>
      </c>
      <c r="C42" s="16">
        <f>AVERAGE(C38,C46)</f>
        <v>0.10244199999999999</v>
      </c>
      <c r="D42" s="16">
        <f>AVERAGE(D38,D46)</f>
        <v>0.17324749999999997</v>
      </c>
      <c r="N42" s="18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8"/>
      <c r="AD42" s="18"/>
      <c r="AE42" s="18"/>
      <c r="AF42" s="18"/>
      <c r="AG42" s="18"/>
      <c r="AH42" s="18"/>
      <c r="AI42" s="18"/>
      <c r="AJ42" s="18"/>
      <c r="AK42" s="18"/>
      <c r="AL42" s="18"/>
      <c r="AM42" s="18"/>
      <c r="AN42" s="18"/>
      <c r="AO42" s="18"/>
      <c r="AP42" s="18"/>
      <c r="AQ42" s="18"/>
      <c r="AR42" s="18"/>
      <c r="AS42" s="18"/>
      <c r="AT42" s="18"/>
      <c r="AU42" s="18"/>
      <c r="AV42" s="18"/>
      <c r="AW42" s="18"/>
      <c r="AX42" s="18"/>
      <c r="AY42" s="18"/>
      <c r="AZ42" s="18"/>
      <c r="BA42" s="18"/>
      <c r="BB42" s="18"/>
      <c r="BC42" s="18"/>
      <c r="BD42" s="18"/>
      <c r="BE42" s="18"/>
      <c r="BF42" s="18"/>
      <c r="BG42" s="18"/>
    </row>
    <row r="43" spans="2:91" x14ac:dyDescent="0.45">
      <c r="B43" t="s">
        <v>70</v>
      </c>
      <c r="C43" s="16">
        <f t="shared" ref="C43" si="6">AVERAGE(C39,C47)</f>
        <v>7.9844499999999999E-2</v>
      </c>
      <c r="D43" s="16">
        <f>AVERAGE(D39,D47)</f>
        <v>0.15366299999999999</v>
      </c>
      <c r="N43" s="18"/>
      <c r="O43" s="18"/>
      <c r="P43" s="18"/>
      <c r="Q43" s="18"/>
      <c r="R43" s="18"/>
      <c r="S43" s="18"/>
      <c r="T43" s="18"/>
      <c r="U43" s="18"/>
      <c r="V43" s="18"/>
      <c r="W43" s="18"/>
      <c r="X43" s="18"/>
      <c r="Y43" s="18"/>
      <c r="Z43" s="18"/>
      <c r="AA43" s="18"/>
      <c r="AB43" s="18"/>
      <c r="AC43" s="18"/>
      <c r="AD43" s="18"/>
      <c r="AE43" s="18"/>
      <c r="AF43" s="18"/>
      <c r="AG43" s="18"/>
      <c r="AH43" s="18"/>
      <c r="AI43" s="18"/>
      <c r="AJ43" s="18"/>
      <c r="AK43" s="18"/>
      <c r="AL43" s="18"/>
      <c r="AM43" s="18"/>
      <c r="AN43" s="18"/>
      <c r="AO43" s="18"/>
      <c r="AP43" s="18"/>
      <c r="AQ43" s="18"/>
      <c r="AR43" s="18"/>
      <c r="AS43" s="18"/>
      <c r="AT43" s="18"/>
      <c r="AU43" s="18"/>
      <c r="AV43" s="18"/>
      <c r="AW43" s="18"/>
      <c r="AX43" s="18"/>
      <c r="AY43" s="18"/>
      <c r="AZ43" s="18"/>
      <c r="BA43" s="18"/>
      <c r="BB43" s="18"/>
      <c r="BC43" s="18"/>
      <c r="BD43" s="18"/>
      <c r="BE43" s="18"/>
      <c r="BF43" s="18"/>
      <c r="BG43" s="18"/>
    </row>
    <row r="44" spans="2:91" x14ac:dyDescent="0.45">
      <c r="B44" t="s">
        <v>172</v>
      </c>
      <c r="C44" s="16">
        <f>AVERAGE(C40,C48)</f>
        <v>7.9844499999999999E-2</v>
      </c>
      <c r="D44" s="16">
        <f>AVERAGE(D40,D48)</f>
        <v>0.15366299999999999</v>
      </c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8"/>
      <c r="AE44" s="18"/>
      <c r="AF44" s="18"/>
      <c r="AG44" s="18"/>
      <c r="AH44" s="18"/>
      <c r="AI44" s="18"/>
      <c r="AJ44" s="18"/>
      <c r="AK44" s="18"/>
      <c r="AL44" s="18"/>
      <c r="AM44" s="18"/>
      <c r="AN44" s="18"/>
      <c r="AO44" s="18"/>
      <c r="AP44" s="18"/>
      <c r="AQ44" s="18"/>
      <c r="AR44" s="18"/>
      <c r="AS44" s="18"/>
      <c r="AT44" s="18"/>
      <c r="AU44" s="18"/>
      <c r="AV44" s="18"/>
      <c r="AW44" s="18"/>
      <c r="AX44" s="18"/>
      <c r="AY44" s="18"/>
      <c r="AZ44" s="18"/>
      <c r="BA44" s="18"/>
      <c r="BB44" s="18"/>
      <c r="BC44" s="18"/>
      <c r="BD44" s="18"/>
      <c r="BE44" s="18"/>
      <c r="BF44" s="18"/>
      <c r="BG44" s="18"/>
    </row>
    <row r="45" spans="2:91" x14ac:dyDescent="0.45">
      <c r="C45" s="153" t="s">
        <v>175</v>
      </c>
      <c r="D45" s="153"/>
      <c r="AR45" t="s">
        <v>96</v>
      </c>
      <c r="AS45">
        <v>746926.35840000003</v>
      </c>
      <c r="AT45">
        <v>2419989.5580000002</v>
      </c>
      <c r="AU45">
        <v>826447.45360000001</v>
      </c>
      <c r="AV45">
        <v>1079154.048</v>
      </c>
      <c r="AW45">
        <v>139146.87951999999</v>
      </c>
      <c r="AX45">
        <v>486991.41119999997</v>
      </c>
      <c r="AY45">
        <v>50177.324779999995</v>
      </c>
      <c r="AZ45">
        <v>99612.748800000016</v>
      </c>
      <c r="BA45">
        <v>0</v>
      </c>
      <c r="BB45">
        <v>0</v>
      </c>
      <c r="BC45">
        <v>775174.65744371363</v>
      </c>
      <c r="BD45">
        <v>1071510.6891933174</v>
      </c>
      <c r="BE45">
        <v>0</v>
      </c>
      <c r="BF45">
        <v>0</v>
      </c>
      <c r="BG45">
        <v>449305.66307462036</v>
      </c>
      <c r="BH45">
        <v>0</v>
      </c>
      <c r="BI45">
        <v>0</v>
      </c>
      <c r="BJ45">
        <v>0</v>
      </c>
      <c r="BK45">
        <v>4397861.8471896015</v>
      </c>
      <c r="BL45">
        <v>305118.78411253606</v>
      </c>
      <c r="BM45">
        <v>0</v>
      </c>
      <c r="BN45">
        <v>100940.4469641235</v>
      </c>
      <c r="BO45">
        <v>0</v>
      </c>
      <c r="BP45">
        <v>0</v>
      </c>
      <c r="BQ45">
        <v>3102.2062624160635</v>
      </c>
      <c r="BR45">
        <v>0</v>
      </c>
      <c r="BS45">
        <v>0</v>
      </c>
      <c r="BT45">
        <v>0</v>
      </c>
      <c r="BU45">
        <v>254787.90920794406</v>
      </c>
      <c r="BV45">
        <v>112632.67261925634</v>
      </c>
      <c r="BW45">
        <v>49797.641477436795</v>
      </c>
      <c r="BX45">
        <v>186909.25586951335</v>
      </c>
      <c r="BY45">
        <v>103296.52607326978</v>
      </c>
      <c r="BZ45">
        <v>40637.334738870137</v>
      </c>
      <c r="CA45">
        <v>395306.65995001869</v>
      </c>
      <c r="CB45">
        <v>0</v>
      </c>
      <c r="CC45">
        <v>0</v>
      </c>
      <c r="CD45">
        <v>0</v>
      </c>
      <c r="CE45">
        <v>0</v>
      </c>
      <c r="CF45">
        <v>0</v>
      </c>
      <c r="CG45">
        <v>0</v>
      </c>
      <c r="CH45">
        <v>4025123.8815564108</v>
      </c>
      <c r="CI45">
        <v>662254.23342751001</v>
      </c>
      <c r="CJ45">
        <v>520342.61195419182</v>
      </c>
      <c r="CK45">
        <v>223790.0671574834</v>
      </c>
      <c r="CL45">
        <v>1105061.6964448721</v>
      </c>
    </row>
    <row r="46" spans="2:91" x14ac:dyDescent="0.45">
      <c r="B46" t="s">
        <v>68</v>
      </c>
      <c r="C46" s="16">
        <f>C32*$L$21</f>
        <v>0.19583999999999999</v>
      </c>
      <c r="D46" s="16">
        <f>D32*$L$21</f>
        <v>0.33119999999999994</v>
      </c>
      <c r="AR46" t="s">
        <v>98</v>
      </c>
      <c r="AS46">
        <v>211748.25690000001</v>
      </c>
      <c r="AT46">
        <v>2249877.0419999999</v>
      </c>
      <c r="AU46">
        <v>346950.94779999997</v>
      </c>
      <c r="AV46">
        <v>1465355.0400000003</v>
      </c>
      <c r="AW46">
        <v>29757.5344</v>
      </c>
      <c r="AX46">
        <v>288647.17440000002</v>
      </c>
      <c r="AY46">
        <v>7503.2366199999997</v>
      </c>
      <c r="AZ46">
        <v>25546.2048</v>
      </c>
      <c r="BA46">
        <v>0</v>
      </c>
      <c r="BB46">
        <v>0</v>
      </c>
      <c r="BC46">
        <v>639306.92988409649</v>
      </c>
      <c r="BD46">
        <v>891947.12716097606</v>
      </c>
      <c r="BE46">
        <v>0</v>
      </c>
      <c r="BF46">
        <v>0</v>
      </c>
      <c r="BG46">
        <v>380248.97598553274</v>
      </c>
      <c r="BH46">
        <v>0</v>
      </c>
      <c r="BI46">
        <v>0</v>
      </c>
      <c r="BJ46">
        <v>0</v>
      </c>
      <c r="BK46">
        <v>3666101.4488726147</v>
      </c>
      <c r="BL46">
        <v>254350.05813746605</v>
      </c>
      <c r="BM46">
        <v>0</v>
      </c>
      <c r="BN46">
        <v>84144.962193731335</v>
      </c>
      <c r="BO46">
        <v>0</v>
      </c>
      <c r="BP46">
        <v>0</v>
      </c>
      <c r="BQ46">
        <v>2586.0300456261498</v>
      </c>
      <c r="BR46">
        <v>0</v>
      </c>
      <c r="BS46">
        <v>0</v>
      </c>
      <c r="BT46">
        <v>0</v>
      </c>
      <c r="BU46">
        <v>146802.79804505515</v>
      </c>
      <c r="BV46">
        <v>122124.54858221003</v>
      </c>
      <c r="BW46">
        <v>53994.230488063396</v>
      </c>
      <c r="BX46">
        <v>202660.63095264568</v>
      </c>
      <c r="BY46">
        <v>112001.61838876411</v>
      </c>
      <c r="BZ46">
        <v>44061.958623187165</v>
      </c>
      <c r="CA46">
        <v>235683.03266929206</v>
      </c>
      <c r="CB46">
        <v>2047.7657088000001</v>
      </c>
      <c r="CC46">
        <v>0</v>
      </c>
      <c r="CD46">
        <v>0</v>
      </c>
      <c r="CE46">
        <v>0</v>
      </c>
      <c r="CF46">
        <v>0</v>
      </c>
      <c r="CG46">
        <v>0</v>
      </c>
      <c r="CH46">
        <v>3355383.3673733259</v>
      </c>
      <c r="CI46">
        <v>394837.98648653011</v>
      </c>
      <c r="CJ46">
        <v>310229.84651048481</v>
      </c>
      <c r="CK46">
        <v>133424.31811244579</v>
      </c>
      <c r="CL46">
        <v>658841.14158017258</v>
      </c>
    </row>
    <row r="47" spans="2:91" x14ac:dyDescent="0.45">
      <c r="B47" t="s">
        <v>70</v>
      </c>
      <c r="C47" s="16">
        <f t="shared" ref="C47" si="7">C33*$L$21</f>
        <v>0.15264</v>
      </c>
      <c r="D47" s="16">
        <f>D33*$L$21</f>
        <v>0.29375999999999997</v>
      </c>
      <c r="AR47" t="s">
        <v>98</v>
      </c>
      <c r="AS47">
        <v>845203.06800000009</v>
      </c>
      <c r="AT47">
        <v>2648700.3479999998</v>
      </c>
      <c r="AU47">
        <v>802653.92459999991</v>
      </c>
      <c r="AV47">
        <v>1274848.1280000003</v>
      </c>
      <c r="AW47">
        <v>151178.61286000002</v>
      </c>
      <c r="AX47">
        <v>458910.58559999993</v>
      </c>
      <c r="AY47">
        <v>66104.092340000003</v>
      </c>
      <c r="AZ47">
        <v>115910.496</v>
      </c>
      <c r="BA47">
        <v>0</v>
      </c>
      <c r="BB47">
        <v>0</v>
      </c>
      <c r="BC47">
        <v>541979.63075169316</v>
      </c>
      <c r="BD47">
        <v>750719.1225053285</v>
      </c>
      <c r="BE47">
        <v>0</v>
      </c>
      <c r="BF47">
        <v>0</v>
      </c>
      <c r="BG47">
        <v>309401.27520609711</v>
      </c>
      <c r="BH47">
        <v>0</v>
      </c>
      <c r="BI47">
        <v>0</v>
      </c>
      <c r="BJ47">
        <v>0</v>
      </c>
      <c r="BK47">
        <v>2989861.7829420734</v>
      </c>
      <c r="BL47">
        <v>207433.2990834614</v>
      </c>
      <c r="BM47">
        <v>0</v>
      </c>
      <c r="BN47">
        <v>68623.798386023496</v>
      </c>
      <c r="BO47">
        <v>0</v>
      </c>
      <c r="BP47">
        <v>0</v>
      </c>
      <c r="BQ47">
        <v>2109.0175792421801</v>
      </c>
      <c r="BR47">
        <v>0</v>
      </c>
      <c r="BS47">
        <v>0</v>
      </c>
      <c r="BT47">
        <v>0</v>
      </c>
      <c r="BU47">
        <v>180943.54028615262</v>
      </c>
      <c r="BV47">
        <v>160778.90163366421</v>
      </c>
      <c r="BW47">
        <v>71084.259251790834</v>
      </c>
      <c r="BX47">
        <v>266805.9290881849</v>
      </c>
      <c r="BY47">
        <v>147451.90377196175</v>
      </c>
      <c r="BZ47">
        <v>58008.266098073946</v>
      </c>
      <c r="CA47">
        <v>463509.08107026061</v>
      </c>
      <c r="CB47">
        <v>2047.7657088000001</v>
      </c>
      <c r="CC47">
        <v>0</v>
      </c>
      <c r="CD47">
        <v>0</v>
      </c>
      <c r="CE47">
        <v>0</v>
      </c>
      <c r="CF47">
        <v>0</v>
      </c>
      <c r="CG47">
        <v>0</v>
      </c>
      <c r="CH47">
        <v>2736457.9614440417</v>
      </c>
      <c r="CI47">
        <v>776513.22809439036</v>
      </c>
      <c r="CJ47">
        <v>610117.53633107489</v>
      </c>
      <c r="CK47">
        <v>262400.65928236785</v>
      </c>
      <c r="CL47">
        <v>1295718.4444239577</v>
      </c>
    </row>
    <row r="48" spans="2:91" x14ac:dyDescent="0.45">
      <c r="B48" t="s">
        <v>172</v>
      </c>
      <c r="C48" s="16">
        <f t="shared" ref="C48:D48" si="8">C34*$L$21</f>
        <v>0.15264</v>
      </c>
      <c r="D48" s="16">
        <f t="shared" si="8"/>
        <v>0.29375999999999997</v>
      </c>
      <c r="AR48" t="s">
        <v>99</v>
      </c>
      <c r="AS48">
        <v>358180.72110000002</v>
      </c>
      <c r="AT48">
        <v>2433332.034</v>
      </c>
      <c r="AU48">
        <v>457833.63299999997</v>
      </c>
      <c r="AV48">
        <v>1231159.5839999998</v>
      </c>
      <c r="AW48">
        <v>38088.833200000001</v>
      </c>
      <c r="AX48">
        <v>285974.7072</v>
      </c>
      <c r="AY48">
        <v>8289.7436600000001</v>
      </c>
      <c r="AZ48">
        <v>54927.408000000003</v>
      </c>
      <c r="BA48">
        <v>0</v>
      </c>
      <c r="BB48">
        <v>0</v>
      </c>
      <c r="BC48">
        <v>709875.29691651801</v>
      </c>
      <c r="BD48">
        <v>990082.36483009579</v>
      </c>
      <c r="BE48">
        <v>0</v>
      </c>
      <c r="BF48">
        <v>0</v>
      </c>
      <c r="BG48">
        <v>405121.53052312677</v>
      </c>
      <c r="BH48">
        <v>0</v>
      </c>
      <c r="BI48">
        <v>0</v>
      </c>
      <c r="BJ48">
        <v>0</v>
      </c>
      <c r="BK48">
        <v>4021414.7660776465</v>
      </c>
      <c r="BL48">
        <v>279001.30255840457</v>
      </c>
      <c r="BM48">
        <v>0</v>
      </c>
      <c r="BN48">
        <v>92300.171769925888</v>
      </c>
      <c r="BO48">
        <v>0</v>
      </c>
      <c r="BP48">
        <v>0</v>
      </c>
      <c r="BQ48">
        <v>2836.6643847784039</v>
      </c>
      <c r="BR48">
        <v>0</v>
      </c>
      <c r="BS48">
        <v>0</v>
      </c>
      <c r="BT48">
        <v>0</v>
      </c>
      <c r="BU48">
        <v>192364.29049036399</v>
      </c>
      <c r="BV48">
        <v>200478.03165120003</v>
      </c>
      <c r="BW48">
        <v>88636.209299732567</v>
      </c>
      <c r="BX48">
        <v>332684.99133264984</v>
      </c>
      <c r="BY48">
        <v>183860.36433299948</v>
      </c>
      <c r="BZ48">
        <v>72331.524153203267</v>
      </c>
      <c r="CA48">
        <v>320150.30544405448</v>
      </c>
      <c r="CB48">
        <v>0</v>
      </c>
      <c r="CC48">
        <v>0</v>
      </c>
      <c r="CD48">
        <v>0</v>
      </c>
      <c r="CE48">
        <v>0</v>
      </c>
      <c r="CF48">
        <v>0</v>
      </c>
      <c r="CG48">
        <v>0</v>
      </c>
      <c r="CH48">
        <v>3680582.3318271455</v>
      </c>
      <c r="CI48">
        <v>536345.36889347201</v>
      </c>
      <c r="CJ48">
        <v>421414.2183964033</v>
      </c>
      <c r="CK48">
        <v>181242.73136475659</v>
      </c>
      <c r="CL48">
        <v>894965.54844544665</v>
      </c>
    </row>
    <row r="49" spans="1:91" x14ac:dyDescent="0.45">
      <c r="AR49" t="s">
        <v>176</v>
      </c>
      <c r="AS49" s="19">
        <f>SUM(AS34:AS48)</f>
        <v>5175374.0291999998</v>
      </c>
      <c r="AT49" s="19">
        <f t="shared" ref="AT49:CL49" si="9">SUM(AT34:AT48)</f>
        <v>13952933.185799999</v>
      </c>
      <c r="AU49" s="19">
        <f t="shared" si="9"/>
        <v>5631599.2932000002</v>
      </c>
      <c r="AV49" s="19">
        <f t="shared" si="9"/>
        <v>6234716.9760000007</v>
      </c>
      <c r="AW49" s="19">
        <f t="shared" si="9"/>
        <v>1024867.3230399999</v>
      </c>
      <c r="AX49" s="19">
        <f t="shared" si="9"/>
        <v>2460697.6799999997</v>
      </c>
      <c r="AY49" s="19">
        <f t="shared" si="9"/>
        <v>482452.13477999991</v>
      </c>
      <c r="AZ49" s="19">
        <f t="shared" si="9"/>
        <v>480233.75040000002</v>
      </c>
      <c r="BA49" s="19">
        <f t="shared" si="9"/>
        <v>0</v>
      </c>
      <c r="BB49" s="19">
        <f t="shared" si="9"/>
        <v>0</v>
      </c>
      <c r="BC49" s="19">
        <f t="shared" si="9"/>
        <v>4360867.7006474743</v>
      </c>
      <c r="BD49" s="19">
        <f t="shared" si="9"/>
        <v>5135181.4951021476</v>
      </c>
      <c r="BE49" s="19">
        <f t="shared" si="9"/>
        <v>0</v>
      </c>
      <c r="BF49" s="19">
        <f t="shared" si="9"/>
        <v>0</v>
      </c>
      <c r="BG49" s="19">
        <f t="shared" si="9"/>
        <v>2271916.3543938124</v>
      </c>
      <c r="BH49" s="19">
        <f t="shared" si="9"/>
        <v>0</v>
      </c>
      <c r="BI49" s="19">
        <f t="shared" si="9"/>
        <v>0</v>
      </c>
      <c r="BJ49" s="19">
        <f t="shared" si="9"/>
        <v>0</v>
      </c>
      <c r="BK49" s="19">
        <f t="shared" si="9"/>
        <v>21806333.454664141</v>
      </c>
      <c r="BL49" s="19">
        <f t="shared" si="9"/>
        <v>1512899.2635117657</v>
      </c>
      <c r="BM49" s="19">
        <f t="shared" si="9"/>
        <v>0</v>
      </c>
      <c r="BN49" s="19">
        <f t="shared" si="9"/>
        <v>500502.54465567844</v>
      </c>
      <c r="BO49" s="19">
        <f t="shared" si="9"/>
        <v>0</v>
      </c>
      <c r="BP49" s="19">
        <f t="shared" si="9"/>
        <v>0</v>
      </c>
      <c r="BQ49" s="19">
        <f t="shared" si="9"/>
        <v>15381.962088377437</v>
      </c>
      <c r="BR49" s="19">
        <f t="shared" si="9"/>
        <v>0</v>
      </c>
      <c r="BS49" s="19">
        <f t="shared" si="9"/>
        <v>0</v>
      </c>
      <c r="BT49" s="19">
        <f t="shared" si="9"/>
        <v>0</v>
      </c>
      <c r="BU49" s="19">
        <f>SUM(BU34:BU48)</f>
        <v>1344061.7905532976</v>
      </c>
      <c r="BV49" s="19">
        <f>SUM(BV34:BV48)</f>
        <v>718826.85744649218</v>
      </c>
      <c r="BW49" s="19">
        <f t="shared" si="9"/>
        <v>317810.82077735517</v>
      </c>
      <c r="BX49" s="19">
        <f t="shared" si="9"/>
        <v>1192863.4018880129</v>
      </c>
      <c r="BY49" s="19">
        <f t="shared" si="9"/>
        <v>659243.14406877919</v>
      </c>
      <c r="BZ49" s="19">
        <f t="shared" si="9"/>
        <v>259349.32507629207</v>
      </c>
      <c r="CA49" s="19">
        <f t="shared" si="9"/>
        <v>3080372.7990114349</v>
      </c>
      <c r="CB49" s="19">
        <f t="shared" si="9"/>
        <v>8191.0628352000003</v>
      </c>
      <c r="CC49" s="19">
        <f t="shared" si="9"/>
        <v>0</v>
      </c>
      <c r="CD49" s="19">
        <f t="shared" si="9"/>
        <v>0</v>
      </c>
      <c r="CE49" s="19">
        <f t="shared" si="9"/>
        <v>0</v>
      </c>
      <c r="CF49" s="19">
        <f t="shared" si="9"/>
        <v>0</v>
      </c>
      <c r="CG49" s="19">
        <f t="shared" si="9"/>
        <v>0</v>
      </c>
      <c r="CH49" s="19">
        <f t="shared" si="9"/>
        <v>21779381.348164927</v>
      </c>
      <c r="CI49" s="19">
        <f t="shared" si="9"/>
        <v>5160525.0662594736</v>
      </c>
      <c r="CJ49" s="19">
        <f t="shared" si="9"/>
        <v>4054698.2661553016</v>
      </c>
      <c r="CK49" s="19">
        <f t="shared" si="9"/>
        <v>1743853.3313241466</v>
      </c>
      <c r="CL49" s="19">
        <f t="shared" si="9"/>
        <v>8611041.3439753409</v>
      </c>
      <c r="CM49" s="19">
        <f>SUM(AS49:CL49)</f>
        <v>119976175.70501946</v>
      </c>
    </row>
    <row r="50" spans="1:91" x14ac:dyDescent="0.45">
      <c r="G50" t="s">
        <v>230</v>
      </c>
      <c r="AR50" t="s">
        <v>183</v>
      </c>
      <c r="AS50" s="20">
        <f>AS49/$CM$49</f>
        <v>4.3136681085122107E-2</v>
      </c>
      <c r="AT50" s="20">
        <f t="shared" ref="AT50:CL50" si="10">AT49/$CM$49</f>
        <v>0.11629753243765252</v>
      </c>
      <c r="AU50" s="20">
        <f t="shared" si="10"/>
        <v>4.6939313243707516E-2</v>
      </c>
      <c r="AV50" s="20">
        <f t="shared" si="10"/>
        <v>5.1966291968907605E-2</v>
      </c>
      <c r="AW50" s="20">
        <f t="shared" si="10"/>
        <v>8.5422569690819239E-3</v>
      </c>
      <c r="AX50" s="20">
        <f t="shared" si="10"/>
        <v>2.0509885946440039E-2</v>
      </c>
      <c r="AY50" s="20">
        <f t="shared" si="10"/>
        <v>4.0212328151397773E-3</v>
      </c>
      <c r="AZ50" s="20">
        <f t="shared" si="10"/>
        <v>4.0027426076718027E-3</v>
      </c>
      <c r="BA50" s="20">
        <f t="shared" si="10"/>
        <v>0</v>
      </c>
      <c r="BB50" s="20">
        <f t="shared" si="10"/>
        <v>0</v>
      </c>
      <c r="BC50" s="20">
        <f t="shared" si="10"/>
        <v>3.6347780507434764E-2</v>
      </c>
      <c r="BD50" s="20">
        <f t="shared" si="10"/>
        <v>4.2801676790630579E-2</v>
      </c>
      <c r="BE50" s="20">
        <f t="shared" si="10"/>
        <v>0</v>
      </c>
      <c r="BF50" s="20">
        <f t="shared" si="10"/>
        <v>0</v>
      </c>
      <c r="BG50" s="20">
        <f t="shared" si="10"/>
        <v>1.8936395838951233E-2</v>
      </c>
      <c r="BH50" s="20">
        <f t="shared" si="10"/>
        <v>0</v>
      </c>
      <c r="BI50" s="20">
        <f t="shared" si="10"/>
        <v>0</v>
      </c>
      <c r="BJ50" s="20">
        <f t="shared" si="10"/>
        <v>0</v>
      </c>
      <c r="BK50" s="20">
        <f t="shared" si="10"/>
        <v>0.18175553043362946</v>
      </c>
      <c r="BL50" s="20">
        <f t="shared" si="10"/>
        <v>1.2609997398412412E-2</v>
      </c>
      <c r="BM50" s="20">
        <f t="shared" si="10"/>
        <v>0</v>
      </c>
      <c r="BN50" s="20">
        <f t="shared" si="10"/>
        <v>4.1716827671374E-3</v>
      </c>
      <c r="BO50" s="20">
        <f t="shared" si="10"/>
        <v>0</v>
      </c>
      <c r="BP50" s="20">
        <f t="shared" si="10"/>
        <v>0</v>
      </c>
      <c r="BQ50" s="20">
        <f t="shared" si="10"/>
        <v>1.2820847137348703E-4</v>
      </c>
      <c r="BR50" s="20">
        <f t="shared" si="10"/>
        <v>0</v>
      </c>
      <c r="BS50" s="20">
        <f t="shared" si="10"/>
        <v>0</v>
      </c>
      <c r="BT50" s="20">
        <f t="shared" si="10"/>
        <v>0</v>
      </c>
      <c r="BU50" s="20">
        <f t="shared" si="10"/>
        <v>1.1202739065944956E-2</v>
      </c>
      <c r="BV50" s="20">
        <f t="shared" si="10"/>
        <v>5.9914133220402236E-3</v>
      </c>
      <c r="BW50" s="20">
        <f t="shared" si="10"/>
        <v>2.6489494177472676E-3</v>
      </c>
      <c r="BX50" s="20">
        <f t="shared" si="10"/>
        <v>9.9425022916287773E-3</v>
      </c>
      <c r="BY50" s="20">
        <f t="shared" si="10"/>
        <v>5.4947837784864346E-3</v>
      </c>
      <c r="BZ50" s="20">
        <f t="shared" si="10"/>
        <v>2.1616735452040388E-3</v>
      </c>
      <c r="CA50" s="20">
        <f t="shared" si="10"/>
        <v>2.5674870705872658E-2</v>
      </c>
      <c r="CB50" s="20">
        <f t="shared" si="10"/>
        <v>6.827241147725056E-5</v>
      </c>
      <c r="CC50" s="20">
        <f t="shared" si="10"/>
        <v>0</v>
      </c>
      <c r="CD50" s="20">
        <f t="shared" si="10"/>
        <v>0</v>
      </c>
      <c r="CE50" s="20">
        <f t="shared" si="10"/>
        <v>0</v>
      </c>
      <c r="CF50" s="20">
        <f t="shared" si="10"/>
        <v>0</v>
      </c>
      <c r="CG50" s="20">
        <f t="shared" si="10"/>
        <v>0</v>
      </c>
      <c r="CH50" s="20">
        <f t="shared" si="10"/>
        <v>0.18153088494596631</v>
      </c>
      <c r="CI50" s="20">
        <f t="shared" si="10"/>
        <v>4.3012915155317556E-2</v>
      </c>
      <c r="CJ50" s="20">
        <f t="shared" si="10"/>
        <v>3.3795861906153961E-2</v>
      </c>
      <c r="CK50" s="20">
        <f t="shared" si="10"/>
        <v>1.4534996811464368E-2</v>
      </c>
      <c r="CL50" s="20">
        <f t="shared" si="10"/>
        <v>7.1772927361403463E-2</v>
      </c>
      <c r="CM50" s="19"/>
    </row>
    <row r="51" spans="1:91" x14ac:dyDescent="0.45">
      <c r="A51" t="s">
        <v>9</v>
      </c>
      <c r="B51" s="12" t="s">
        <v>229</v>
      </c>
      <c r="C51" t="s">
        <v>190</v>
      </c>
      <c r="D51" t="s">
        <v>216</v>
      </c>
      <c r="E51" t="s">
        <v>221</v>
      </c>
      <c r="F51" t="s">
        <v>224</v>
      </c>
      <c r="H51" t="s">
        <v>225</v>
      </c>
      <c r="K51" s="12" t="s">
        <v>238</v>
      </c>
      <c r="L51" t="s">
        <v>190</v>
      </c>
      <c r="M51" t="s">
        <v>216</v>
      </c>
      <c r="N51" t="s">
        <v>221</v>
      </c>
      <c r="O51" t="s">
        <v>224</v>
      </c>
    </row>
    <row r="52" spans="1:91" x14ac:dyDescent="0.45">
      <c r="B52" t="s">
        <v>189</v>
      </c>
      <c r="C52">
        <v>0.01</v>
      </c>
      <c r="D52" s="3">
        <f>C52*Economic!$D$28</f>
        <v>1.2627857052658165E-2</v>
      </c>
      <c r="E52" s="6">
        <f>D52*Economic!$C$39</f>
        <v>1.1620873847708045E-2</v>
      </c>
      <c r="F52" s="16">
        <f>E52/0.0133</f>
        <v>0.8737499133615072</v>
      </c>
      <c r="G52" s="16">
        <f>AVERAGE(F52,H52)</f>
        <v>0.43698419289492207</v>
      </c>
      <c r="H52" s="16">
        <f>E52*0.0188</f>
        <v>2.1847242833691126E-4</v>
      </c>
      <c r="L52">
        <v>0.12</v>
      </c>
      <c r="M52" s="3">
        <f>L52*Economic!$D$28</f>
        <v>0.15153428463189797</v>
      </c>
      <c r="N52" s="3">
        <f>M52*Economic!$C$39</f>
        <v>0.13945048617249653</v>
      </c>
      <c r="O52">
        <f>N52*0.0133</f>
        <v>1.8546914660942037E-3</v>
      </c>
      <c r="AR52" t="s">
        <v>106</v>
      </c>
      <c r="AS52">
        <v>7971703.9920000006</v>
      </c>
      <c r="AT52">
        <v>10166139.9</v>
      </c>
      <c r="AU52">
        <v>3150982.04</v>
      </c>
      <c r="AV52">
        <v>7240832.352</v>
      </c>
      <c r="AW52">
        <v>746310.04359999986</v>
      </c>
      <c r="AX52">
        <v>1914208.4160000002</v>
      </c>
      <c r="AY52">
        <v>172492.34552000003</v>
      </c>
      <c r="AZ52">
        <v>750421.45920000004</v>
      </c>
      <c r="BA52">
        <v>498061.68599999999</v>
      </c>
      <c r="BB52">
        <v>827700.65099999995</v>
      </c>
      <c r="BC52">
        <v>381104.51425671304</v>
      </c>
      <c r="BD52">
        <v>529392.73010981968</v>
      </c>
      <c r="BE52">
        <v>0</v>
      </c>
      <c r="BF52">
        <v>0</v>
      </c>
      <c r="BG52">
        <v>222439.99641442404</v>
      </c>
      <c r="BH52">
        <v>0</v>
      </c>
      <c r="BI52">
        <v>0</v>
      </c>
      <c r="BJ52">
        <v>0</v>
      </c>
      <c r="BK52">
        <v>1082261.8327865505</v>
      </c>
      <c r="BL52">
        <v>164894.33984925249</v>
      </c>
      <c r="BM52">
        <v>1737.2136514020656</v>
      </c>
      <c r="BN52">
        <v>0</v>
      </c>
      <c r="BO52">
        <v>0</v>
      </c>
      <c r="BP52">
        <v>0</v>
      </c>
      <c r="BQ52">
        <v>1.9590946184826229E-2</v>
      </c>
      <c r="BR52">
        <v>0</v>
      </c>
      <c r="BS52">
        <v>0</v>
      </c>
      <c r="BT52">
        <v>297579.49557183014</v>
      </c>
      <c r="BU52">
        <v>184123.98277406735</v>
      </c>
      <c r="BV52">
        <v>1660257.6065285602</v>
      </c>
      <c r="BW52">
        <v>11265.466389133626</v>
      </c>
      <c r="BX52">
        <v>2914072.7884162311</v>
      </c>
      <c r="BY52">
        <v>23008.684862318547</v>
      </c>
      <c r="BZ52">
        <v>43517.087301270236</v>
      </c>
      <c r="CA52">
        <v>2179401.9886210999</v>
      </c>
      <c r="CB52">
        <v>663831.90552878019</v>
      </c>
      <c r="CC52">
        <v>1727696.0900882883</v>
      </c>
      <c r="CD52">
        <v>0</v>
      </c>
      <c r="CE52">
        <v>0</v>
      </c>
      <c r="CF52">
        <v>0</v>
      </c>
      <c r="CG52">
        <v>0</v>
      </c>
      <c r="CH52">
        <v>3716452.1009855913</v>
      </c>
      <c r="CI52">
        <v>1883119.0331455644</v>
      </c>
      <c r="CJ52">
        <v>1255412.6887144514</v>
      </c>
      <c r="CK52">
        <v>332970.18712719367</v>
      </c>
      <c r="CL52">
        <v>1764054.7498461509</v>
      </c>
    </row>
    <row r="53" spans="1:91" x14ac:dyDescent="0.45">
      <c r="B53" t="s">
        <v>188</v>
      </c>
      <c r="C53">
        <v>0.01</v>
      </c>
      <c r="D53" s="3">
        <f>C53*Economic!$D$28</f>
        <v>1.2627857052658165E-2</v>
      </c>
      <c r="E53" s="6">
        <f>D53*Economic!$C$39</f>
        <v>1.1620873847708045E-2</v>
      </c>
      <c r="F53" s="16">
        <f>E53*0.0133</f>
        <v>1.5455762217451698E-4</v>
      </c>
      <c r="G53" s="16">
        <f>AVERAGE(F53,H53)</f>
        <v>1.8651502525571413E-4</v>
      </c>
      <c r="H53" s="16">
        <f>E53*0.0188</f>
        <v>2.1847242833691126E-4</v>
      </c>
      <c r="L53">
        <v>7.0000000000000007E-2</v>
      </c>
      <c r="M53" s="3">
        <f>L53*Economic!$D$28</f>
        <v>8.8394999368607161E-2</v>
      </c>
      <c r="N53" s="3">
        <f>M53*Economic!$C$39</f>
        <v>8.1346116933956325E-2</v>
      </c>
      <c r="AR53" t="s">
        <v>107</v>
      </c>
      <c r="AS53">
        <v>2353275.324</v>
      </c>
      <c r="AT53">
        <v>8633619.540000001</v>
      </c>
      <c r="AU53">
        <v>1270917.3720000002</v>
      </c>
      <c r="AV53">
        <v>5788863.5520000001</v>
      </c>
      <c r="AW53">
        <v>462767.16089999996</v>
      </c>
      <c r="AX53">
        <v>2062755.8399999999</v>
      </c>
      <c r="AY53">
        <v>98281.960259999993</v>
      </c>
      <c r="AZ53">
        <v>618617.1936</v>
      </c>
      <c r="BA53">
        <v>367148.23092000006</v>
      </c>
      <c r="BB53">
        <v>1059756.9480000001</v>
      </c>
      <c r="BC53">
        <v>323402.28414550703</v>
      </c>
      <c r="BD53">
        <v>453854.27257834293</v>
      </c>
      <c r="BE53">
        <v>0</v>
      </c>
      <c r="BF53">
        <v>0</v>
      </c>
      <c r="BG53">
        <v>198792.50514858408</v>
      </c>
      <c r="BH53">
        <v>0</v>
      </c>
      <c r="BI53">
        <v>0</v>
      </c>
      <c r="BJ53">
        <v>0</v>
      </c>
      <c r="BK53">
        <v>2694838.1893267841</v>
      </c>
      <c r="BL53">
        <v>234573.8384022864</v>
      </c>
      <c r="BM53">
        <v>5966.5877427028427</v>
      </c>
      <c r="BN53">
        <v>0</v>
      </c>
      <c r="BO53">
        <v>0</v>
      </c>
      <c r="BP53">
        <v>0</v>
      </c>
      <c r="BQ53">
        <v>113.83101984379618</v>
      </c>
      <c r="BR53">
        <v>0</v>
      </c>
      <c r="BS53">
        <v>0</v>
      </c>
      <c r="BT53">
        <v>470183.32581213798</v>
      </c>
      <c r="BU53">
        <v>90929.27998353001</v>
      </c>
      <c r="BV53">
        <v>928386.87718125095</v>
      </c>
      <c r="BW53">
        <v>6299.4508321309804</v>
      </c>
      <c r="BX53">
        <v>1629498.2930831525</v>
      </c>
      <c r="BY53">
        <v>12866.052233929633</v>
      </c>
      <c r="BZ53">
        <v>24333.990475203562</v>
      </c>
      <c r="CA53">
        <v>352866.56600719329</v>
      </c>
      <c r="CB53">
        <v>663831.90552878019</v>
      </c>
      <c r="CC53">
        <v>1727696.0900882883</v>
      </c>
      <c r="CD53">
        <v>0</v>
      </c>
      <c r="CE53">
        <v>0</v>
      </c>
      <c r="CF53">
        <v>0</v>
      </c>
      <c r="CG53">
        <v>0</v>
      </c>
      <c r="CH53">
        <v>421966.61724506278</v>
      </c>
      <c r="CI53">
        <v>304895.45013593801</v>
      </c>
      <c r="CJ53">
        <v>203263.63341598364</v>
      </c>
      <c r="CK53">
        <v>53911.140665607476</v>
      </c>
      <c r="CL53">
        <v>285617.7743158142</v>
      </c>
    </row>
    <row r="54" spans="1:91" x14ac:dyDescent="0.45">
      <c r="AR54" t="s">
        <v>107</v>
      </c>
      <c r="AS54">
        <v>678905.80739999993</v>
      </c>
      <c r="AT54">
        <v>5909590.1340000005</v>
      </c>
      <c r="AU54">
        <v>342623.72820000001</v>
      </c>
      <c r="AV54">
        <v>4054731.9359999998</v>
      </c>
      <c r="AW54">
        <v>130722.33504000001</v>
      </c>
      <c r="AX54">
        <v>1487904.4799999997</v>
      </c>
      <c r="AY54">
        <v>35230.650399999999</v>
      </c>
      <c r="AZ54">
        <v>548864.52480000001</v>
      </c>
      <c r="BA54">
        <v>89149.059720000005</v>
      </c>
      <c r="BB54">
        <v>676677.64410000003</v>
      </c>
      <c r="BC54">
        <v>274754.48248131498</v>
      </c>
      <c r="BD54">
        <v>381065.39336160052</v>
      </c>
      <c r="BE54">
        <v>0</v>
      </c>
      <c r="BF54">
        <v>0</v>
      </c>
      <c r="BG54">
        <v>161868.47846351686</v>
      </c>
      <c r="BH54">
        <v>0</v>
      </c>
      <c r="BI54">
        <v>0</v>
      </c>
      <c r="BJ54">
        <v>0</v>
      </c>
      <c r="BK54">
        <v>2111070.9391710679</v>
      </c>
      <c r="BL54">
        <v>183757.46412468411</v>
      </c>
      <c r="BM54">
        <v>4674.1004536514602</v>
      </c>
      <c r="BN54">
        <v>0</v>
      </c>
      <c r="BO54">
        <v>0</v>
      </c>
      <c r="BP54">
        <v>0</v>
      </c>
      <c r="BQ54">
        <v>89.172545103833201</v>
      </c>
      <c r="BR54">
        <v>0</v>
      </c>
      <c r="BS54">
        <v>0</v>
      </c>
      <c r="BT54">
        <v>463214.1926336952</v>
      </c>
      <c r="BU54">
        <v>126656.95528623339</v>
      </c>
      <c r="BV54">
        <v>661923.36526653531</v>
      </c>
      <c r="BW54">
        <v>4491.3966328297656</v>
      </c>
      <c r="BX54">
        <v>1161803.3606081393</v>
      </c>
      <c r="BY54">
        <v>9173.2668801123691</v>
      </c>
      <c r="BZ54">
        <v>17349.703298925317</v>
      </c>
      <c r="CA54">
        <v>284021.99991323426</v>
      </c>
      <c r="CB54">
        <v>0</v>
      </c>
      <c r="CC54">
        <v>0</v>
      </c>
      <c r="CD54">
        <v>0</v>
      </c>
      <c r="CE54">
        <v>0</v>
      </c>
      <c r="CF54">
        <v>0</v>
      </c>
      <c r="CG54">
        <v>0</v>
      </c>
      <c r="CH54">
        <v>330551.72326283721</v>
      </c>
      <c r="CI54">
        <v>245410.08672582294</v>
      </c>
      <c r="CJ54">
        <v>163606.72447746244</v>
      </c>
      <c r="CK54">
        <v>43393.030956467279</v>
      </c>
      <c r="CL54">
        <v>229893.50196609658</v>
      </c>
    </row>
    <row r="55" spans="1:91" x14ac:dyDescent="0.45">
      <c r="AR55" t="s">
        <v>107</v>
      </c>
      <c r="AS55">
        <v>2150152.4610000001</v>
      </c>
      <c r="AT55">
        <v>14056371.420000002</v>
      </c>
      <c r="AU55">
        <v>1075234.7760000001</v>
      </c>
      <c r="AV55">
        <v>8518110.7199999988</v>
      </c>
      <c r="AW55">
        <v>369403.91026000003</v>
      </c>
      <c r="AX55">
        <v>2774473.5359999998</v>
      </c>
      <c r="AY55">
        <v>70283.931299999997</v>
      </c>
      <c r="AZ55">
        <v>746912.35199999996</v>
      </c>
      <c r="BA55">
        <v>305138.76972000004</v>
      </c>
      <c r="BB55">
        <v>1525004.2350000003</v>
      </c>
      <c r="BC55">
        <v>475398.11371635209</v>
      </c>
      <c r="BD55">
        <v>663255.67313776282</v>
      </c>
      <c r="BE55">
        <v>0</v>
      </c>
      <c r="BF55">
        <v>0</v>
      </c>
      <c r="BG55">
        <v>278716.62690183142</v>
      </c>
      <c r="BH55">
        <v>0</v>
      </c>
      <c r="BI55">
        <v>0</v>
      </c>
      <c r="BJ55">
        <v>0</v>
      </c>
      <c r="BK55">
        <v>3722109.6584936781</v>
      </c>
      <c r="BL55">
        <v>323979.98232058727</v>
      </c>
      <c r="BM55">
        <v>8241.3117677107748</v>
      </c>
      <c r="BN55">
        <v>0</v>
      </c>
      <c r="BO55">
        <v>0</v>
      </c>
      <c r="BP55">
        <v>0</v>
      </c>
      <c r="BQ55">
        <v>157.30378139461186</v>
      </c>
      <c r="BR55">
        <v>0</v>
      </c>
      <c r="BS55">
        <v>0</v>
      </c>
      <c r="BT55">
        <v>1134891.6588143918</v>
      </c>
      <c r="BU55">
        <v>134847.95726019621</v>
      </c>
      <c r="BV55">
        <v>1171231.8398273364</v>
      </c>
      <c r="BW55">
        <v>7947.2443755559116</v>
      </c>
      <c r="BX55">
        <v>2055738.109523786</v>
      </c>
      <c r="BY55">
        <v>16231.519854107133</v>
      </c>
      <c r="BZ55">
        <v>30699.210787152515</v>
      </c>
      <c r="CA55">
        <v>449198.10690591799</v>
      </c>
      <c r="CB55">
        <v>2655331.2731942399</v>
      </c>
      <c r="CC55">
        <v>6910793.8626911258</v>
      </c>
      <c r="CD55">
        <v>0</v>
      </c>
      <c r="CE55">
        <v>0</v>
      </c>
      <c r="CF55">
        <v>0</v>
      </c>
      <c r="CG55">
        <v>0</v>
      </c>
      <c r="CH55">
        <v>582850.61976721382</v>
      </c>
      <c r="CI55">
        <v>388131.01296705339</v>
      </c>
      <c r="CJ55">
        <v>258754.00863454997</v>
      </c>
      <c r="CK55">
        <v>68628.723804905283</v>
      </c>
      <c r="CL55">
        <v>363590.58823989012</v>
      </c>
    </row>
    <row r="56" spans="1:91" x14ac:dyDescent="0.45">
      <c r="C56" t="s">
        <v>191</v>
      </c>
      <c r="D56" t="s">
        <v>217</v>
      </c>
      <c r="E56" t="s">
        <v>222</v>
      </c>
      <c r="F56" t="s">
        <v>226</v>
      </c>
      <c r="H56" t="s">
        <v>227</v>
      </c>
      <c r="AR56" t="s">
        <v>107</v>
      </c>
      <c r="AS56">
        <v>1561698.027</v>
      </c>
      <c r="AT56">
        <v>11473718.76</v>
      </c>
      <c r="AU56">
        <v>1062702.1100000001</v>
      </c>
      <c r="AV56">
        <v>7435283.4239999996</v>
      </c>
      <c r="AW56">
        <v>241734.35769999999</v>
      </c>
      <c r="AX56">
        <v>2057210.112</v>
      </c>
      <c r="AY56">
        <v>38730.404019999994</v>
      </c>
      <c r="AZ56">
        <v>268582.1568</v>
      </c>
      <c r="BA56">
        <v>247429.94844000004</v>
      </c>
      <c r="BB56">
        <v>1424580.0450000004</v>
      </c>
      <c r="BC56">
        <v>368965.57063730579</v>
      </c>
      <c r="BD56">
        <v>517370.46681245184</v>
      </c>
      <c r="BE56">
        <v>0</v>
      </c>
      <c r="BF56">
        <v>0</v>
      </c>
      <c r="BG56">
        <v>215287.20978172196</v>
      </c>
      <c r="BH56">
        <v>0</v>
      </c>
      <c r="BI56">
        <v>0</v>
      </c>
      <c r="BJ56">
        <v>0</v>
      </c>
      <c r="BK56">
        <v>3007066.684823358</v>
      </c>
      <c r="BL56">
        <v>261740.05272901931</v>
      </c>
      <c r="BM56">
        <v>6658.0303862187957</v>
      </c>
      <c r="BN56">
        <v>8.0846880479906374E-2</v>
      </c>
      <c r="BO56">
        <v>0</v>
      </c>
      <c r="BP56">
        <v>0</v>
      </c>
      <c r="BQ56">
        <v>127.03972627069759</v>
      </c>
      <c r="BR56">
        <v>0</v>
      </c>
      <c r="BS56">
        <v>0</v>
      </c>
      <c r="BT56">
        <v>241381.08187503819</v>
      </c>
      <c r="BU56">
        <v>107261.94477174977</v>
      </c>
      <c r="BV56">
        <v>1039952.7941577828</v>
      </c>
      <c r="BW56">
        <v>7056.4671426901132</v>
      </c>
      <c r="BX56">
        <v>1825318.0270193757</v>
      </c>
      <c r="BY56">
        <v>14412.188818393724</v>
      </c>
      <c r="BZ56">
        <v>27258.249776785837</v>
      </c>
      <c r="CA56">
        <v>293409.75319309416</v>
      </c>
      <c r="CB56">
        <v>2655331.2731942399</v>
      </c>
      <c r="CC56">
        <v>6910793.8626911258</v>
      </c>
      <c r="CD56">
        <v>0</v>
      </c>
      <c r="CE56">
        <v>0</v>
      </c>
      <c r="CF56">
        <v>0</v>
      </c>
      <c r="CG56">
        <v>0</v>
      </c>
      <c r="CH56">
        <v>470865.03922466631</v>
      </c>
      <c r="CI56">
        <v>253521.60105883318</v>
      </c>
      <c r="CJ56">
        <v>169014.40069925709</v>
      </c>
      <c r="CK56">
        <v>44827.296341611749</v>
      </c>
      <c r="CL56">
        <v>237492.1482203863</v>
      </c>
    </row>
    <row r="57" spans="1:91" x14ac:dyDescent="0.45">
      <c r="B57" t="s">
        <v>189</v>
      </c>
      <c r="C57">
        <v>34.01</v>
      </c>
      <c r="D57" s="3">
        <f>C57*Economic!$D$28</f>
        <v>42.947341836090416</v>
      </c>
      <c r="E57" s="3">
        <f>D57*Economic!$C$39</f>
        <v>39.522591956055059</v>
      </c>
      <c r="F57" s="16">
        <f>E57*0.0133</f>
        <v>0.52565047301553225</v>
      </c>
      <c r="G57" s="16">
        <f>AVERAGE(F57,H57)</f>
        <v>0.63433760089468372</v>
      </c>
      <c r="H57" s="16">
        <f>E57*0.0188</f>
        <v>0.74302472877383519</v>
      </c>
      <c r="AR57" t="s">
        <v>107</v>
      </c>
      <c r="AS57">
        <v>1450232.361</v>
      </c>
      <c r="AT57">
        <v>5714089.6260000002</v>
      </c>
      <c r="AU57">
        <v>751797.25160000008</v>
      </c>
      <c r="AV57">
        <v>3799628.4479999999</v>
      </c>
      <c r="AW57">
        <v>203471.19562000001</v>
      </c>
      <c r="AX57">
        <v>930104.64</v>
      </c>
      <c r="AY57">
        <v>15426.078799999999</v>
      </c>
      <c r="AZ57">
        <v>92490.153600000005</v>
      </c>
      <c r="BA57">
        <v>231942.20088000002</v>
      </c>
      <c r="BB57">
        <v>691123.75260000001</v>
      </c>
      <c r="BC57">
        <v>212429.63664634924</v>
      </c>
      <c r="BD57">
        <v>295350.83045947255</v>
      </c>
      <c r="BE57">
        <v>0</v>
      </c>
      <c r="BF57">
        <v>0</v>
      </c>
      <c r="BG57">
        <v>124615.4635911042</v>
      </c>
      <c r="BH57">
        <v>0</v>
      </c>
      <c r="BI57">
        <v>0</v>
      </c>
      <c r="BJ57">
        <v>0</v>
      </c>
      <c r="BK57">
        <v>1729012.8073402424</v>
      </c>
      <c r="BL57">
        <v>150495.93676457345</v>
      </c>
      <c r="BM57">
        <v>3828.2356667016643</v>
      </c>
      <c r="BN57">
        <v>0</v>
      </c>
      <c r="BO57">
        <v>0</v>
      </c>
      <c r="BP57">
        <v>0</v>
      </c>
      <c r="BQ57">
        <v>73.040958636018345</v>
      </c>
      <c r="BR57">
        <v>0</v>
      </c>
      <c r="BS57">
        <v>0</v>
      </c>
      <c r="BT57">
        <v>190517.84870439762</v>
      </c>
      <c r="BU57">
        <v>86175.284991367589</v>
      </c>
      <c r="BV57">
        <v>568051.28470638313</v>
      </c>
      <c r="BW57">
        <v>3854.4395941930925</v>
      </c>
      <c r="BX57">
        <v>997039.7272558898</v>
      </c>
      <c r="BY57">
        <v>7872.3403790166703</v>
      </c>
      <c r="BZ57">
        <v>14889.217944830489</v>
      </c>
      <c r="CA57">
        <v>264946.38535655692</v>
      </c>
      <c r="CB57">
        <v>0</v>
      </c>
      <c r="CC57">
        <v>0</v>
      </c>
      <c r="CD57">
        <v>0</v>
      </c>
      <c r="CE57">
        <v>0</v>
      </c>
      <c r="CF57">
        <v>0</v>
      </c>
      <c r="CG57">
        <v>0</v>
      </c>
      <c r="CH57">
        <v>270720.09991709614</v>
      </c>
      <c r="CI57">
        <v>228927.74540461416</v>
      </c>
      <c r="CJ57">
        <v>152618.49693042162</v>
      </c>
      <c r="CK57">
        <v>40478.648924626214</v>
      </c>
      <c r="CL57">
        <v>214453.29240712157</v>
      </c>
    </row>
    <row r="58" spans="1:91" x14ac:dyDescent="0.45">
      <c r="B58" t="s">
        <v>188</v>
      </c>
      <c r="C58">
        <v>11.15</v>
      </c>
      <c r="D58" s="3">
        <f>C58*Economic!$D$28</f>
        <v>14.080060613713854</v>
      </c>
      <c r="E58" s="3">
        <f>D58*Economic!$C$39</f>
        <v>12.95727434019447</v>
      </c>
      <c r="F58" s="16">
        <f>E58*0.0133</f>
        <v>0.17233174872458645</v>
      </c>
      <c r="G58" s="16">
        <f>AVERAGE(F58,H58)</f>
        <v>0.20796425316012124</v>
      </c>
      <c r="H58" s="16">
        <f>E58*0.0188</f>
        <v>0.24359675759565605</v>
      </c>
      <c r="AR58" t="s">
        <v>108</v>
      </c>
      <c r="AS58">
        <v>2379457.1340000001</v>
      </c>
      <c r="AT58">
        <v>20928800.34</v>
      </c>
      <c r="AU58">
        <v>1229406.1339999998</v>
      </c>
      <c r="AV58">
        <v>13837866.24</v>
      </c>
      <c r="AW58">
        <v>409795.50634000002</v>
      </c>
      <c r="AX58">
        <v>4055441.0879999995</v>
      </c>
      <c r="AY58">
        <v>64262.490159999994</v>
      </c>
      <c r="AZ58">
        <v>768347.86560000002</v>
      </c>
      <c r="BA58">
        <v>371865.22440000006</v>
      </c>
      <c r="BB58">
        <v>2614355.8290000004</v>
      </c>
      <c r="BC58">
        <v>273720.68287409033</v>
      </c>
      <c r="BD58">
        <v>379687.71502886759</v>
      </c>
      <c r="BE58">
        <v>0</v>
      </c>
      <c r="BF58">
        <v>0</v>
      </c>
      <c r="BG58">
        <v>161669.76991922289</v>
      </c>
      <c r="BH58">
        <v>0</v>
      </c>
      <c r="BI58">
        <v>0</v>
      </c>
      <c r="BJ58">
        <v>0</v>
      </c>
      <c r="BK58">
        <v>131761.98008965293</v>
      </c>
      <c r="BL58">
        <v>8401.7475688733321</v>
      </c>
      <c r="BM58">
        <v>1158.3288810100255</v>
      </c>
      <c r="BN58">
        <v>0.23421816844914051</v>
      </c>
      <c r="BO58">
        <v>0</v>
      </c>
      <c r="BP58">
        <v>0</v>
      </c>
      <c r="BQ58">
        <v>464.3211612586332</v>
      </c>
      <c r="BR58">
        <v>0</v>
      </c>
      <c r="BS58">
        <v>0</v>
      </c>
      <c r="BT58">
        <v>1053656.9925570227</v>
      </c>
      <c r="BU58">
        <v>147221.56348063165</v>
      </c>
      <c r="BV58">
        <v>4677093.6416747859</v>
      </c>
      <c r="BW58">
        <v>31735.822809622183</v>
      </c>
      <c r="BX58">
        <v>8209202.7505158139</v>
      </c>
      <c r="BY58">
        <v>64817.515817836793</v>
      </c>
      <c r="BZ58">
        <v>122591.51322097925</v>
      </c>
      <c r="CA58">
        <v>352101.7074316112</v>
      </c>
      <c r="CB58">
        <v>2655331.2731942399</v>
      </c>
      <c r="CC58">
        <v>6910793.8626911258</v>
      </c>
      <c r="CD58">
        <v>0</v>
      </c>
      <c r="CE58">
        <v>0</v>
      </c>
      <c r="CF58">
        <v>0</v>
      </c>
      <c r="CG58">
        <v>0</v>
      </c>
      <c r="CH58">
        <v>425502.47830590658</v>
      </c>
      <c r="CI58">
        <v>304234.57043327828</v>
      </c>
      <c r="CJ58">
        <v>202823.04694756056</v>
      </c>
      <c r="CK58">
        <v>53794.284941465834</v>
      </c>
      <c r="CL58">
        <v>284998.68016508146</v>
      </c>
    </row>
    <row r="59" spans="1:91" x14ac:dyDescent="0.45">
      <c r="AR59" t="s">
        <v>108</v>
      </c>
      <c r="AS59">
        <v>2881198.665</v>
      </c>
      <c r="AT59">
        <v>16592982</v>
      </c>
      <c r="AU59">
        <v>1443048.4419999998</v>
      </c>
      <c r="AV59">
        <v>11179263.359999998</v>
      </c>
      <c r="AW59">
        <v>378570.36601999996</v>
      </c>
      <c r="AX59">
        <v>2677622.4959999998</v>
      </c>
      <c r="AY59">
        <v>12361.13384</v>
      </c>
      <c r="AZ59">
        <v>106796.69759999998</v>
      </c>
      <c r="BA59">
        <v>463757.37864000001</v>
      </c>
      <c r="BB59">
        <v>2117669.0550000002</v>
      </c>
      <c r="BC59">
        <v>240333.44734475613</v>
      </c>
      <c r="BD59">
        <v>333431.2163181412</v>
      </c>
      <c r="BE59">
        <v>0</v>
      </c>
      <c r="BF59">
        <v>0</v>
      </c>
      <c r="BG59">
        <v>143053.19203682448</v>
      </c>
      <c r="BH59">
        <v>0</v>
      </c>
      <c r="BI59">
        <v>0</v>
      </c>
      <c r="BJ59">
        <v>0</v>
      </c>
      <c r="BK59">
        <v>110942.42024535942</v>
      </c>
      <c r="BL59">
        <v>7057.7894579553522</v>
      </c>
      <c r="BM59">
        <v>971.71466051462221</v>
      </c>
      <c r="BN59">
        <v>129.0571465623527</v>
      </c>
      <c r="BO59">
        <v>0</v>
      </c>
      <c r="BP59">
        <v>0</v>
      </c>
      <c r="BQ59">
        <v>391.73885594669997</v>
      </c>
      <c r="BR59">
        <v>0</v>
      </c>
      <c r="BS59">
        <v>0</v>
      </c>
      <c r="BT59">
        <v>572632.97157141403</v>
      </c>
      <c r="BU59">
        <v>109053.31971896764</v>
      </c>
      <c r="BV59">
        <v>3742852.3299018019</v>
      </c>
      <c r="BW59">
        <v>25396.647457717219</v>
      </c>
      <c r="BX59">
        <v>6569428.7939041704</v>
      </c>
      <c r="BY59">
        <v>51870.329885113555</v>
      </c>
      <c r="BZ59">
        <v>98104.071895603003</v>
      </c>
      <c r="CA59">
        <v>192417.15996660755</v>
      </c>
      <c r="CB59">
        <v>1327663.8110575604</v>
      </c>
      <c r="CC59">
        <v>3455392.1801765645</v>
      </c>
      <c r="CD59">
        <v>0</v>
      </c>
      <c r="CE59">
        <v>0</v>
      </c>
      <c r="CF59">
        <v>0</v>
      </c>
      <c r="CG59">
        <v>0</v>
      </c>
      <c r="CH59">
        <v>356670.14812759747</v>
      </c>
      <c r="CI59">
        <v>166258.6448503712</v>
      </c>
      <c r="CJ59">
        <v>110839.09656256536</v>
      </c>
      <c r="CK59">
        <v>29397.595750954617</v>
      </c>
      <c r="CL59">
        <v>155746.58159626313</v>
      </c>
    </row>
    <row r="60" spans="1:91" x14ac:dyDescent="0.45">
      <c r="AR60" t="s">
        <v>108</v>
      </c>
      <c r="AS60">
        <v>4273737.165</v>
      </c>
      <c r="AT60">
        <v>17423847</v>
      </c>
      <c r="AU60">
        <v>1824785.0039999997</v>
      </c>
      <c r="AV60">
        <v>10747079.039999999</v>
      </c>
      <c r="AW60">
        <v>608969.29236000008</v>
      </c>
      <c r="AX60">
        <v>2845882.7519999999</v>
      </c>
      <c r="AY60">
        <v>73958.013800000001</v>
      </c>
      <c r="AZ60">
        <v>397616.74559999997</v>
      </c>
      <c r="BA60">
        <v>576589.19339999999</v>
      </c>
      <c r="BB60">
        <v>1992752.4780000001</v>
      </c>
      <c r="BC60">
        <v>265308.70579433232</v>
      </c>
      <c r="BD60">
        <v>367694.55171507248</v>
      </c>
      <c r="BE60">
        <v>0</v>
      </c>
      <c r="BF60">
        <v>0</v>
      </c>
      <c r="BG60">
        <v>159520.54424696314</v>
      </c>
      <c r="BH60">
        <v>0</v>
      </c>
      <c r="BI60">
        <v>0</v>
      </c>
      <c r="BJ60">
        <v>0</v>
      </c>
      <c r="BK60">
        <v>135989.91107497521</v>
      </c>
      <c r="BL60">
        <v>8663.2197488375296</v>
      </c>
      <c r="BM60">
        <v>1192.5732445128922</v>
      </c>
      <c r="BN60">
        <v>72.481749838508406</v>
      </c>
      <c r="BO60">
        <v>0</v>
      </c>
      <c r="BP60">
        <v>0</v>
      </c>
      <c r="BQ60">
        <v>479.20219705959931</v>
      </c>
      <c r="BR60">
        <v>0</v>
      </c>
      <c r="BS60">
        <v>0</v>
      </c>
      <c r="BT60">
        <v>1900147.3087422715</v>
      </c>
      <c r="BU60">
        <v>144214.61153428929</v>
      </c>
      <c r="BV60">
        <v>4705066.0536481151</v>
      </c>
      <c r="BW60">
        <v>31925.626045981084</v>
      </c>
      <c r="BX60">
        <v>8258299.7365722787</v>
      </c>
      <c r="BY60">
        <v>65205.171570415463</v>
      </c>
      <c r="BZ60">
        <v>123324.69937780459</v>
      </c>
      <c r="CA60">
        <v>242889.48962176059</v>
      </c>
      <c r="CB60">
        <v>1327663.8110575604</v>
      </c>
      <c r="CC60">
        <v>3455392.1801765645</v>
      </c>
      <c r="CD60">
        <v>0</v>
      </c>
      <c r="CE60">
        <v>0</v>
      </c>
      <c r="CF60">
        <v>0</v>
      </c>
      <c r="CG60">
        <v>0</v>
      </c>
      <c r="CH60">
        <v>437796.13755605853</v>
      </c>
      <c r="CI60">
        <v>209869.41363172271</v>
      </c>
      <c r="CJ60">
        <v>139912.94241565917</v>
      </c>
      <c r="CK60">
        <v>37108.784255927356</v>
      </c>
      <c r="CL60">
        <v>196599.96497727989</v>
      </c>
    </row>
    <row r="61" spans="1:91" x14ac:dyDescent="0.45">
      <c r="A61" t="s">
        <v>234</v>
      </c>
      <c r="C61" s="14" t="s">
        <v>237</v>
      </c>
      <c r="AR61" t="s">
        <v>108</v>
      </c>
      <c r="AS61">
        <v>149797.5048</v>
      </c>
      <c r="AT61">
        <v>2752538.2080000001</v>
      </c>
      <c r="AU61">
        <v>56728.592600000004</v>
      </c>
      <c r="AV61">
        <v>1358966.3039999998</v>
      </c>
      <c r="AW61">
        <v>34422.859019999996</v>
      </c>
      <c r="AX61">
        <v>636025.68000000005</v>
      </c>
      <c r="AY61">
        <v>6971.1281199999994</v>
      </c>
      <c r="AZ61">
        <v>185865.552</v>
      </c>
      <c r="BA61">
        <v>23170.630080000003</v>
      </c>
      <c r="BB61">
        <v>306790.88310000004</v>
      </c>
      <c r="BC61">
        <v>81134.608209276528</v>
      </c>
      <c r="BD61">
        <v>112403.33061307372</v>
      </c>
      <c r="BE61">
        <v>0</v>
      </c>
      <c r="BF61">
        <v>0</v>
      </c>
      <c r="BG61">
        <v>48803.708360857752</v>
      </c>
      <c r="BH61">
        <v>0</v>
      </c>
      <c r="BI61">
        <v>0</v>
      </c>
      <c r="BJ61">
        <v>0</v>
      </c>
      <c r="BK61">
        <v>36801.161546190408</v>
      </c>
      <c r="BL61">
        <v>2343.3627585765162</v>
      </c>
      <c r="BM61">
        <v>324.20445731242825</v>
      </c>
      <c r="BN61">
        <v>0</v>
      </c>
      <c r="BO61">
        <v>0</v>
      </c>
      <c r="BP61">
        <v>0</v>
      </c>
      <c r="BQ61">
        <v>130.05505011453948</v>
      </c>
      <c r="BR61">
        <v>0</v>
      </c>
      <c r="BS61">
        <v>0</v>
      </c>
      <c r="BT61">
        <v>624786.39391056134</v>
      </c>
      <c r="BU61">
        <v>45874.100590177863</v>
      </c>
      <c r="BV61">
        <v>1013471.655173162</v>
      </c>
      <c r="BW61">
        <v>6876.78274913327</v>
      </c>
      <c r="BX61">
        <v>1778838.513106649</v>
      </c>
      <c r="BY61">
        <v>14045.199876860494</v>
      </c>
      <c r="BZ61">
        <v>26564.151443792525</v>
      </c>
      <c r="CA61">
        <v>59717.323228125824</v>
      </c>
      <c r="CB61">
        <v>0</v>
      </c>
      <c r="CC61">
        <v>0</v>
      </c>
      <c r="CD61">
        <v>0</v>
      </c>
      <c r="CE61">
        <v>0</v>
      </c>
      <c r="CF61">
        <v>0</v>
      </c>
      <c r="CG61">
        <v>0</v>
      </c>
      <c r="CH61">
        <v>119147.3958010788</v>
      </c>
      <c r="CI61">
        <v>51598.940760905607</v>
      </c>
      <c r="CJ61">
        <v>34399.293839254024</v>
      </c>
      <c r="CK61">
        <v>9123.6446864565496</v>
      </c>
      <c r="CL61">
        <v>48336.485869541873</v>
      </c>
    </row>
    <row r="62" spans="1:91" x14ac:dyDescent="0.45">
      <c r="E62" t="s">
        <v>241</v>
      </c>
      <c r="F62" t="s">
        <v>258</v>
      </c>
      <c r="AR62" t="s">
        <v>109</v>
      </c>
      <c r="AS62">
        <v>6129276.4620000003</v>
      </c>
      <c r="AT62">
        <v>4749070.3260000004</v>
      </c>
      <c r="AU62">
        <v>2063245.4920000001</v>
      </c>
      <c r="AV62">
        <v>3376989.7919999999</v>
      </c>
      <c r="AW62">
        <v>1440108.5798000002</v>
      </c>
      <c r="AX62">
        <v>1381021.7279999999</v>
      </c>
      <c r="AY62">
        <v>254273.87458</v>
      </c>
      <c r="AZ62">
        <v>525297.57119999989</v>
      </c>
      <c r="BA62">
        <v>990379.10424000002</v>
      </c>
      <c r="BB62">
        <v>614349.80669999996</v>
      </c>
      <c r="BC62">
        <v>164270.71420380272</v>
      </c>
      <c r="BD62">
        <v>229042.85037078979</v>
      </c>
      <c r="BE62">
        <v>0</v>
      </c>
      <c r="BF62">
        <v>0</v>
      </c>
      <c r="BG62">
        <v>97941.466982165162</v>
      </c>
      <c r="BH62">
        <v>0</v>
      </c>
      <c r="BI62">
        <v>0</v>
      </c>
      <c r="BJ62">
        <v>0</v>
      </c>
      <c r="BK62">
        <v>2293886.9474317315</v>
      </c>
      <c r="BL62">
        <v>123759.77790171954</v>
      </c>
      <c r="BM62">
        <v>4425.8904508659662</v>
      </c>
      <c r="BN62">
        <v>367784.68372293713</v>
      </c>
      <c r="BO62">
        <v>0</v>
      </c>
      <c r="BP62">
        <v>0</v>
      </c>
      <c r="BQ62">
        <v>7354.7577406876735</v>
      </c>
      <c r="BR62">
        <v>0</v>
      </c>
      <c r="BS62">
        <v>0</v>
      </c>
      <c r="BT62">
        <v>307418.76999526221</v>
      </c>
      <c r="BU62">
        <v>46357.820851574237</v>
      </c>
      <c r="BV62">
        <v>1514830.5194044448</v>
      </c>
      <c r="BW62">
        <v>10278.689424146936</v>
      </c>
      <c r="BX62">
        <v>2658820.1603779155</v>
      </c>
      <c r="BY62">
        <v>20993.283153013868</v>
      </c>
      <c r="BZ62">
        <v>39705.291335714101</v>
      </c>
      <c r="CA62">
        <v>159410.4905094484</v>
      </c>
      <c r="CB62">
        <v>1327663.8110575604</v>
      </c>
      <c r="CC62">
        <v>3455392.1801765645</v>
      </c>
      <c r="CD62">
        <v>0</v>
      </c>
      <c r="CE62">
        <v>0</v>
      </c>
      <c r="CF62">
        <v>0</v>
      </c>
      <c r="CG62">
        <v>0</v>
      </c>
      <c r="CH62">
        <v>357847.52970335749</v>
      </c>
      <c r="CI62">
        <v>137739.12807281595</v>
      </c>
      <c r="CJ62">
        <v>91826.085378274482</v>
      </c>
      <c r="CK62">
        <v>24354.819021999141</v>
      </c>
      <c r="CL62">
        <v>129030.27309465728</v>
      </c>
    </row>
    <row r="63" spans="1:91" x14ac:dyDescent="0.45">
      <c r="A63" s="15" t="s">
        <v>232</v>
      </c>
      <c r="B63" s="15" t="s">
        <v>233</v>
      </c>
      <c r="C63" s="15" t="s">
        <v>235</v>
      </c>
      <c r="D63" s="33" t="s">
        <v>328</v>
      </c>
      <c r="E63" s="27" t="s">
        <v>236</v>
      </c>
      <c r="F63" s="27" t="s">
        <v>223</v>
      </c>
      <c r="G63" s="27" t="s">
        <v>223</v>
      </c>
      <c r="AQ63" t="s">
        <v>109</v>
      </c>
      <c r="AR63">
        <v>10227324.294</v>
      </c>
      <c r="AS63">
        <v>9160185.3000000007</v>
      </c>
      <c r="AT63">
        <v>3957294.8439999996</v>
      </c>
      <c r="AU63">
        <v>6149766.1440000003</v>
      </c>
      <c r="AV63">
        <v>2071817.6555999999</v>
      </c>
      <c r="AW63">
        <v>2014127.1359999999</v>
      </c>
      <c r="AX63">
        <v>352576.10563999997</v>
      </c>
      <c r="AY63">
        <v>512579.04959999997</v>
      </c>
      <c r="AZ63">
        <v>1583817.0072000001</v>
      </c>
      <c r="BA63">
        <v>1145090.4930000002</v>
      </c>
      <c r="BB63">
        <v>1091438.4687851309</v>
      </c>
      <c r="BC63">
        <v>640266.64093081956</v>
      </c>
      <c r="BD63">
        <v>0</v>
      </c>
      <c r="BE63">
        <v>0</v>
      </c>
      <c r="BF63">
        <v>383650.71542552032</v>
      </c>
      <c r="BG63">
        <v>0</v>
      </c>
      <c r="BH63">
        <v>0</v>
      </c>
      <c r="BI63">
        <v>0</v>
      </c>
      <c r="BJ63">
        <v>8684014.0145237576</v>
      </c>
      <c r="BK63">
        <v>468520.43910938181</v>
      </c>
      <c r="BL63">
        <v>16754.878397957884</v>
      </c>
      <c r="BM63">
        <v>1392335.1486303047</v>
      </c>
      <c r="BN63">
        <v>0</v>
      </c>
      <c r="BO63">
        <v>0</v>
      </c>
      <c r="BP63">
        <v>27842.995297670415</v>
      </c>
      <c r="BQ63">
        <v>0</v>
      </c>
      <c r="BR63">
        <v>0</v>
      </c>
      <c r="BS63">
        <v>1524765.7351265461</v>
      </c>
      <c r="BT63">
        <v>278093.35933616443</v>
      </c>
      <c r="BU63">
        <v>2823732.363038803</v>
      </c>
      <c r="BV63">
        <v>19160.076064482284</v>
      </c>
      <c r="BW63">
        <v>4956195.7183902096</v>
      </c>
      <c r="BX63">
        <v>39132.703154745119</v>
      </c>
      <c r="BY63">
        <v>74012.976826357204</v>
      </c>
      <c r="BZ63">
        <v>1305608.3783099283</v>
      </c>
      <c r="CA63">
        <v>1327663.8110575604</v>
      </c>
      <c r="CB63">
        <v>3455392.1801765645</v>
      </c>
      <c r="CC63">
        <v>0</v>
      </c>
      <c r="CD63">
        <v>0</v>
      </c>
      <c r="CE63">
        <v>0</v>
      </c>
      <c r="CF63">
        <v>0</v>
      </c>
      <c r="CG63">
        <v>1354583.1187030198</v>
      </c>
      <c r="CH63">
        <v>1128114.9585179391</v>
      </c>
      <c r="CI63">
        <v>752076.63898244826</v>
      </c>
      <c r="CJ63">
        <v>199471.5375008728</v>
      </c>
      <c r="CK63">
        <v>1056787.4446162183</v>
      </c>
    </row>
    <row r="64" spans="1:91" x14ac:dyDescent="0.45">
      <c r="A64" s="15" t="s">
        <v>81</v>
      </c>
      <c r="B64" s="15" t="s">
        <v>83</v>
      </c>
      <c r="C64" s="15">
        <v>502842.73384464101</v>
      </c>
      <c r="D64" t="s">
        <v>330</v>
      </c>
      <c r="E64" s="2">
        <f t="shared" ref="E64:E95" si="11">C64/1000</f>
        <v>502.84273384464103</v>
      </c>
      <c r="F64" s="3">
        <f>IF(LEFT(A64,2)="DK",$D$46*E64,$D$47*E64)</f>
        <v>166.54151344934508</v>
      </c>
      <c r="G64">
        <f>F64*13</f>
        <v>2165.039674841486</v>
      </c>
      <c r="AR64" t="s">
        <v>110</v>
      </c>
      <c r="AS64">
        <v>2567840.9940000004</v>
      </c>
      <c r="AT64">
        <v>6828818.6399999997</v>
      </c>
      <c r="AU64">
        <v>1017953.1807999999</v>
      </c>
      <c r="AV64">
        <v>4582866.9120000005</v>
      </c>
      <c r="AW64">
        <v>329458.27177999995</v>
      </c>
      <c r="AX64">
        <v>1011784.6079999999</v>
      </c>
      <c r="AY64">
        <v>62486.768079999994</v>
      </c>
      <c r="AZ64">
        <v>88911.724799999982</v>
      </c>
      <c r="BA64">
        <v>388522.39116000006</v>
      </c>
      <c r="BB64">
        <v>763528.74450000003</v>
      </c>
      <c r="BC64">
        <v>326865.31031645631</v>
      </c>
      <c r="BD64">
        <v>456107.09642346273</v>
      </c>
      <c r="BE64">
        <v>0</v>
      </c>
      <c r="BF64">
        <v>0</v>
      </c>
      <c r="BG64">
        <v>195722.88517126461</v>
      </c>
      <c r="BH64">
        <v>0</v>
      </c>
      <c r="BI64">
        <v>0</v>
      </c>
      <c r="BJ64">
        <v>0</v>
      </c>
      <c r="BK64">
        <v>217614.32845078019</v>
      </c>
      <c r="BL64">
        <v>26561.578969937662</v>
      </c>
      <c r="BM64">
        <v>745.21082658045907</v>
      </c>
      <c r="BN64">
        <v>715.05295212623514</v>
      </c>
      <c r="BO64">
        <v>0</v>
      </c>
      <c r="BP64">
        <v>0</v>
      </c>
      <c r="BQ64">
        <v>61.643260068504752</v>
      </c>
      <c r="BR64">
        <v>0</v>
      </c>
      <c r="BS64">
        <v>0</v>
      </c>
      <c r="BT64">
        <v>419731.47746206477</v>
      </c>
      <c r="BU64">
        <v>94274.232782718012</v>
      </c>
      <c r="BV64">
        <v>1255818.3078530028</v>
      </c>
      <c r="BW64">
        <v>8521.1950737918814</v>
      </c>
      <c r="BX64">
        <v>2204203.6993048922</v>
      </c>
      <c r="BY64">
        <v>17403.761666923463</v>
      </c>
      <c r="BZ64">
        <v>32916.310530652794</v>
      </c>
      <c r="CA64">
        <v>314408.97664694273</v>
      </c>
      <c r="CB64">
        <v>1327663.8110575604</v>
      </c>
      <c r="CC64">
        <v>3455392.1801765645</v>
      </c>
      <c r="CD64">
        <v>0</v>
      </c>
      <c r="CE64">
        <v>0</v>
      </c>
      <c r="CF64">
        <v>0</v>
      </c>
      <c r="CG64">
        <v>0</v>
      </c>
      <c r="CH64">
        <v>307555.09832023853</v>
      </c>
      <c r="CI64">
        <v>271666.05017893057</v>
      </c>
      <c r="CJ64">
        <v>181110.70011218125</v>
      </c>
      <c r="CK64">
        <v>48035.569696879422</v>
      </c>
      <c r="CL64">
        <v>254489.37520936891</v>
      </c>
    </row>
    <row r="65" spans="1:91" x14ac:dyDescent="0.45">
      <c r="A65" s="15" t="s">
        <v>81</v>
      </c>
      <c r="B65" s="15" t="s">
        <v>87</v>
      </c>
      <c r="C65" s="15">
        <v>1323641.0023793699</v>
      </c>
      <c r="D65" t="s">
        <v>331</v>
      </c>
      <c r="E65" s="2">
        <f t="shared" si="11"/>
        <v>1323.6410023793699</v>
      </c>
      <c r="F65" s="3">
        <f>IF(LEFT(A65,2)="DK",$D$46*E65,$D$47*E65)</f>
        <v>438.3898999880472</v>
      </c>
      <c r="G65">
        <f t="shared" ref="G65:G128" si="12">F65*13</f>
        <v>5699.0686998446135</v>
      </c>
      <c r="O65" t="s">
        <v>327</v>
      </c>
      <c r="P65" t="s">
        <v>439</v>
      </c>
      <c r="AR65" t="s">
        <v>110</v>
      </c>
      <c r="AS65">
        <v>7328413.7910000002</v>
      </c>
      <c r="AT65">
        <v>31351576.200000003</v>
      </c>
      <c r="AU65">
        <v>3499940.068</v>
      </c>
      <c r="AV65">
        <v>21111136.32</v>
      </c>
      <c r="AW65">
        <v>643819.86525999999</v>
      </c>
      <c r="AX65">
        <v>4117137.3119999999</v>
      </c>
      <c r="AY65">
        <v>132304.47098000001</v>
      </c>
      <c r="AZ65">
        <v>829181.95199999993</v>
      </c>
      <c r="BA65">
        <v>568485.92483999999</v>
      </c>
      <c r="BB65">
        <v>2554232.5380000006</v>
      </c>
      <c r="BC65">
        <v>1431855.1728104518</v>
      </c>
      <c r="BD65">
        <v>2000230.3457144736</v>
      </c>
      <c r="BE65">
        <v>0</v>
      </c>
      <c r="BF65">
        <v>0</v>
      </c>
      <c r="BG65">
        <v>849261.64559909166</v>
      </c>
      <c r="BH65">
        <v>0</v>
      </c>
      <c r="BI65">
        <v>0</v>
      </c>
      <c r="BJ65">
        <v>0</v>
      </c>
      <c r="BK65">
        <v>962573.06872845069</v>
      </c>
      <c r="BL65">
        <v>117555.7673935889</v>
      </c>
      <c r="BM65">
        <v>3297.3533822637323</v>
      </c>
      <c r="BN65">
        <v>2991.734056460084</v>
      </c>
      <c r="BO65">
        <v>0</v>
      </c>
      <c r="BP65">
        <v>0</v>
      </c>
      <c r="BQ65">
        <v>269.28121097456011</v>
      </c>
      <c r="BR65">
        <v>0</v>
      </c>
      <c r="BS65">
        <v>0</v>
      </c>
      <c r="BT65">
        <v>1659992.745811193</v>
      </c>
      <c r="BU65">
        <v>352139.05239691975</v>
      </c>
      <c r="BV65">
        <v>5612436.7030579671</v>
      </c>
      <c r="BW65">
        <v>38082.473943089237</v>
      </c>
      <c r="BX65">
        <v>9850910.4905030876</v>
      </c>
      <c r="BY65">
        <v>77779.970350733376</v>
      </c>
      <c r="BZ65">
        <v>147107.83255527617</v>
      </c>
      <c r="CA65">
        <v>1657475.6263689164</v>
      </c>
      <c r="CB65">
        <v>5310677.1507050302</v>
      </c>
      <c r="CC65">
        <v>13821625.734734293</v>
      </c>
      <c r="CD65">
        <v>0</v>
      </c>
      <c r="CE65">
        <v>0</v>
      </c>
      <c r="CF65">
        <v>0</v>
      </c>
      <c r="CG65">
        <v>0</v>
      </c>
      <c r="CH65">
        <v>1361367.5580621748</v>
      </c>
      <c r="CI65">
        <v>1432146.943874344</v>
      </c>
      <c r="CJ65">
        <v>954764.62921210309</v>
      </c>
      <c r="CK65">
        <v>253230.00166321269</v>
      </c>
      <c r="CL65">
        <v>1341596.3485850997</v>
      </c>
    </row>
    <row r="66" spans="1:91" x14ac:dyDescent="0.45">
      <c r="A66" s="15" t="s">
        <v>81</v>
      </c>
      <c r="B66" s="15" t="s">
        <v>90</v>
      </c>
      <c r="C66" s="15">
        <v>222223.07201755</v>
      </c>
      <c r="D66" t="s">
        <v>332</v>
      </c>
      <c r="E66" s="2">
        <f t="shared" si="11"/>
        <v>222.22307201755001</v>
      </c>
      <c r="F66" s="3">
        <f t="shared" ref="F66:F95" si="13">IF(LEFT(A66,2)="DK",$D$46*E66,$D$47*E66)</f>
        <v>73.600281452212556</v>
      </c>
      <c r="G66">
        <f t="shared" si="12"/>
        <v>956.80365887876326</v>
      </c>
      <c r="M66" t="s">
        <v>295</v>
      </c>
      <c r="O66" t="str">
        <f>RIGHT(M66,7)</f>
        <v>DK1-DK2</v>
      </c>
      <c r="P66">
        <f>VLOOKUP(O66,$D$64:$G$173,4,FALSE)</f>
        <v>772.50092302278654</v>
      </c>
      <c r="AR66" t="s">
        <v>111</v>
      </c>
      <c r="AS66">
        <v>3273018.3179999995</v>
      </c>
      <c r="AT66">
        <v>25721229.660000004</v>
      </c>
      <c r="AU66">
        <v>2315062.486</v>
      </c>
      <c r="AV66">
        <v>16737819.839999998</v>
      </c>
      <c r="AW66">
        <v>432846.44656000001</v>
      </c>
      <c r="AX66">
        <v>4166283.9359999998</v>
      </c>
      <c r="AY66">
        <v>91253.060359999989</v>
      </c>
      <c r="AZ66">
        <v>669462.59519999998</v>
      </c>
      <c r="BA66">
        <v>407737.15836</v>
      </c>
      <c r="BB66">
        <v>2728157.0460000001</v>
      </c>
      <c r="BC66">
        <v>0</v>
      </c>
      <c r="BD66">
        <v>285121.1851688794</v>
      </c>
      <c r="BE66">
        <v>0</v>
      </c>
      <c r="BF66">
        <v>0</v>
      </c>
      <c r="BG66">
        <v>131429.88908560801</v>
      </c>
      <c r="BH66">
        <v>0</v>
      </c>
      <c r="BI66">
        <v>0</v>
      </c>
      <c r="BJ66">
        <v>0</v>
      </c>
      <c r="BK66">
        <v>605349.55289681046</v>
      </c>
      <c r="BL66">
        <v>9137.0506885305094</v>
      </c>
      <c r="BM66">
        <v>1577.115937836903</v>
      </c>
      <c r="BN66">
        <v>0.11294784772928096</v>
      </c>
      <c r="BO66">
        <v>0</v>
      </c>
      <c r="BP66">
        <v>0</v>
      </c>
      <c r="BQ66">
        <v>183.63447167033408</v>
      </c>
      <c r="BR66">
        <v>0</v>
      </c>
      <c r="BS66">
        <v>0</v>
      </c>
      <c r="BT66">
        <v>182520.31035507406</v>
      </c>
      <c r="BU66">
        <v>188162.25843910294</v>
      </c>
      <c r="BV66">
        <v>2610742.7093292824</v>
      </c>
      <c r="BW66">
        <v>17714.86191478484</v>
      </c>
      <c r="BX66">
        <v>4582357.7358696107</v>
      </c>
      <c r="BY66">
        <v>36180.985420180114</v>
      </c>
      <c r="BZ66">
        <v>68430.295368794294</v>
      </c>
      <c r="CA66">
        <v>284202.27311974182</v>
      </c>
      <c r="CB66">
        <v>3982998.7353309309</v>
      </c>
      <c r="CC66">
        <v>10366195.545205688</v>
      </c>
      <c r="CD66">
        <v>0</v>
      </c>
      <c r="CE66">
        <v>0</v>
      </c>
      <c r="CF66">
        <v>0</v>
      </c>
      <c r="CG66">
        <v>0</v>
      </c>
      <c r="CH66">
        <v>170572.68692492964</v>
      </c>
      <c r="CI66">
        <v>245565.85703569901</v>
      </c>
      <c r="CJ66">
        <v>163710.57135070916</v>
      </c>
      <c r="CK66">
        <v>43420.57402109314</v>
      </c>
      <c r="CL66">
        <v>230039.42336043422</v>
      </c>
    </row>
    <row r="67" spans="1:91" x14ac:dyDescent="0.45">
      <c r="A67" s="15" t="s">
        <v>81</v>
      </c>
      <c r="B67" s="15" t="s">
        <v>80</v>
      </c>
      <c r="C67" s="15">
        <v>179417.71716434101</v>
      </c>
      <c r="D67" t="s">
        <v>333</v>
      </c>
      <c r="E67" s="2">
        <f t="shared" si="11"/>
        <v>179.41771716434101</v>
      </c>
      <c r="F67" s="3">
        <f t="shared" si="13"/>
        <v>59.423147924829735</v>
      </c>
      <c r="G67">
        <f t="shared" si="12"/>
        <v>772.50092302278654</v>
      </c>
      <c r="M67" t="s">
        <v>296</v>
      </c>
      <c r="O67" t="str">
        <f t="shared" ref="O67:O97" si="14">RIGHT(M67,7)</f>
        <v>DK1-NO2</v>
      </c>
      <c r="P67">
        <f t="shared" ref="P67:P97" si="15">VLOOKUP(O67,$D$64:$G$173,4,FALSE)</f>
        <v>1563.3185005409482</v>
      </c>
      <c r="AR67" t="s">
        <v>111</v>
      </c>
      <c r="AS67">
        <v>2877516.5220000003</v>
      </c>
      <c r="AT67">
        <v>39524856</v>
      </c>
      <c r="AU67">
        <v>2043442.4380000001</v>
      </c>
      <c r="AV67">
        <v>27065383.680000003</v>
      </c>
      <c r="AW67">
        <v>312437.89455999993</v>
      </c>
      <c r="AX67">
        <v>5065488.6720000003</v>
      </c>
      <c r="AY67">
        <v>120.61126</v>
      </c>
      <c r="AZ67">
        <v>2188.8096</v>
      </c>
      <c r="BA67">
        <v>411352.27668000007</v>
      </c>
      <c r="BB67">
        <v>4437668.5379999997</v>
      </c>
      <c r="BC67">
        <v>0</v>
      </c>
      <c r="BD67">
        <v>384063.45674930426</v>
      </c>
      <c r="BE67">
        <v>0</v>
      </c>
      <c r="BF67">
        <v>0</v>
      </c>
      <c r="BG67">
        <v>183928.5736127398</v>
      </c>
      <c r="BH67">
        <v>0</v>
      </c>
      <c r="BI67">
        <v>0</v>
      </c>
      <c r="BJ67">
        <v>0</v>
      </c>
      <c r="BK67">
        <v>950398.20976413006</v>
      </c>
      <c r="BL67">
        <v>14366.072537809043</v>
      </c>
      <c r="BM67">
        <v>2475.8780760017767</v>
      </c>
      <c r="BN67">
        <v>0</v>
      </c>
      <c r="BO67">
        <v>0</v>
      </c>
      <c r="BP67">
        <v>0</v>
      </c>
      <c r="BQ67">
        <v>288.21010528177493</v>
      </c>
      <c r="BR67">
        <v>0</v>
      </c>
      <c r="BS67">
        <v>0</v>
      </c>
      <c r="BT67">
        <v>343242.38471529825</v>
      </c>
      <c r="BU67">
        <v>189986.79960392934</v>
      </c>
      <c r="BV67">
        <v>3648782.8050249252</v>
      </c>
      <c r="BW67">
        <v>24758.350685833761</v>
      </c>
      <c r="BX67">
        <v>6404318.6076384969</v>
      </c>
      <c r="BY67">
        <v>50566.667101380983</v>
      </c>
      <c r="BZ67">
        <v>95638.411319582272</v>
      </c>
      <c r="CA67">
        <v>288192.25062097126</v>
      </c>
      <c r="CB67">
        <v>1991499.3676654655</v>
      </c>
      <c r="CC67">
        <v>5183097.7726028496</v>
      </c>
      <c r="CD67">
        <v>0</v>
      </c>
      <c r="CE67">
        <v>0</v>
      </c>
      <c r="CF67">
        <v>0</v>
      </c>
      <c r="CG67">
        <v>0</v>
      </c>
      <c r="CH67">
        <v>267687.4926392769</v>
      </c>
      <c r="CI67">
        <v>249013.40644876665</v>
      </c>
      <c r="CJ67">
        <v>166008.93762599782</v>
      </c>
      <c r="CK67">
        <v>44030.164361902382</v>
      </c>
      <c r="CL67">
        <v>233268.99398789162</v>
      </c>
    </row>
    <row r="68" spans="1:91" x14ac:dyDescent="0.45">
      <c r="A68" s="15" t="s">
        <v>81</v>
      </c>
      <c r="B68" s="15" t="s">
        <v>86</v>
      </c>
      <c r="C68" s="15">
        <v>722323.73510159599</v>
      </c>
      <c r="D68" t="s">
        <v>334</v>
      </c>
      <c r="E68" s="2">
        <f t="shared" si="11"/>
        <v>722.32373510159596</v>
      </c>
      <c r="F68" s="3">
        <f t="shared" si="13"/>
        <v>239.23362106564855</v>
      </c>
      <c r="G68">
        <f t="shared" si="12"/>
        <v>3110.0370738534311</v>
      </c>
      <c r="M68" t="s">
        <v>297</v>
      </c>
      <c r="O68" t="str">
        <f t="shared" si="14"/>
        <v>DK2-NO1</v>
      </c>
      <c r="P68">
        <f t="shared" si="15"/>
        <v>2651.7537753982083</v>
      </c>
      <c r="AR68" t="s">
        <v>111</v>
      </c>
      <c r="AS68">
        <v>3525041.7089999998</v>
      </c>
      <c r="AT68">
        <v>26069706.600000001</v>
      </c>
      <c r="AU68">
        <v>1984846.818</v>
      </c>
      <c r="AV68">
        <v>17699159.039999999</v>
      </c>
      <c r="AW68">
        <v>454766.27614000003</v>
      </c>
      <c r="AX68">
        <v>3534804</v>
      </c>
      <c r="AY68">
        <v>16847.061879999997</v>
      </c>
      <c r="AZ68">
        <v>137257.56479999999</v>
      </c>
      <c r="BA68">
        <v>595184.97492000007</v>
      </c>
      <c r="BB68">
        <v>3234222.4050000003</v>
      </c>
      <c r="BC68">
        <v>0</v>
      </c>
      <c r="BD68">
        <v>276296.14996257046</v>
      </c>
      <c r="BE68">
        <v>0</v>
      </c>
      <c r="BF68">
        <v>0</v>
      </c>
      <c r="BG68">
        <v>128241.31789849547</v>
      </c>
      <c r="BH68">
        <v>0</v>
      </c>
      <c r="BI68">
        <v>0</v>
      </c>
      <c r="BJ68">
        <v>0</v>
      </c>
      <c r="BK68">
        <v>614675.84768969764</v>
      </c>
      <c r="BL68">
        <v>9261.9106066142813</v>
      </c>
      <c r="BM68">
        <v>1601.4843286858427</v>
      </c>
      <c r="BN68">
        <v>0</v>
      </c>
      <c r="BO68">
        <v>0</v>
      </c>
      <c r="BP68">
        <v>0</v>
      </c>
      <c r="BQ68">
        <v>186.53252665809572</v>
      </c>
      <c r="BR68">
        <v>0</v>
      </c>
      <c r="BS68">
        <v>0</v>
      </c>
      <c r="BT68">
        <v>155178.43420379132</v>
      </c>
      <c r="BU68">
        <v>132845.96226413915</v>
      </c>
      <c r="BV68">
        <v>2890747.1056963243</v>
      </c>
      <c r="BW68">
        <v>19614.796059750563</v>
      </c>
      <c r="BX68">
        <v>5073819.5360634951</v>
      </c>
      <c r="BY68">
        <v>40061.427160509644</v>
      </c>
      <c r="BZ68">
        <v>75769.503280584395</v>
      </c>
      <c r="CA68">
        <v>287738.9625005651</v>
      </c>
      <c r="CB68">
        <v>1991499.3676654655</v>
      </c>
      <c r="CC68">
        <v>5183097.7726028496</v>
      </c>
      <c r="CD68">
        <v>0</v>
      </c>
      <c r="CE68">
        <v>0</v>
      </c>
      <c r="CF68">
        <v>0</v>
      </c>
      <c r="CG68">
        <v>0</v>
      </c>
      <c r="CH68">
        <v>173183.74049761449</v>
      </c>
      <c r="CI68">
        <v>248621.74367445087</v>
      </c>
      <c r="CJ68">
        <v>165747.82910979688</v>
      </c>
      <c r="CK68">
        <v>43960.911157532719</v>
      </c>
      <c r="CL68">
        <v>232902.09494157147</v>
      </c>
    </row>
    <row r="69" spans="1:91" x14ac:dyDescent="0.45">
      <c r="A69" s="15" t="s">
        <v>81</v>
      </c>
      <c r="B69" s="15" t="s">
        <v>82</v>
      </c>
      <c r="C69" s="15">
        <v>615884.84192637703</v>
      </c>
      <c r="D69" t="s">
        <v>335</v>
      </c>
      <c r="E69" s="2">
        <f t="shared" si="11"/>
        <v>615.88484192637702</v>
      </c>
      <c r="F69" s="3">
        <f t="shared" si="13"/>
        <v>203.98105964601604</v>
      </c>
      <c r="G69">
        <f t="shared" si="12"/>
        <v>2651.7537753982083</v>
      </c>
      <c r="M69" t="s">
        <v>298</v>
      </c>
      <c r="O69" t="str">
        <f t="shared" si="14"/>
        <v>DK2-SE4</v>
      </c>
      <c r="P69">
        <f t="shared" si="15"/>
        <v>956.80365887876326</v>
      </c>
      <c r="AR69" t="s">
        <v>112</v>
      </c>
      <c r="AS69">
        <v>7942966.5870000003</v>
      </c>
      <c r="AT69">
        <v>30214466.52</v>
      </c>
      <c r="AU69">
        <v>4050203.4</v>
      </c>
      <c r="AV69">
        <v>21362128.32</v>
      </c>
      <c r="AW69">
        <v>889094.5181799999</v>
      </c>
      <c r="AX69">
        <v>4270967.5199999996</v>
      </c>
      <c r="AY69">
        <v>51688.512920000001</v>
      </c>
      <c r="AZ69">
        <v>131325.38880000002</v>
      </c>
      <c r="BA69">
        <v>1166646.8700000001</v>
      </c>
      <c r="BB69">
        <v>3753811.4520000005</v>
      </c>
      <c r="BC69">
        <v>0</v>
      </c>
      <c r="BD69">
        <v>121082.28951842472</v>
      </c>
      <c r="BE69">
        <v>0</v>
      </c>
      <c r="BF69">
        <v>0</v>
      </c>
      <c r="BG69">
        <v>56688.053587115734</v>
      </c>
      <c r="BH69">
        <v>0</v>
      </c>
      <c r="BI69">
        <v>0</v>
      </c>
      <c r="BJ69">
        <v>0</v>
      </c>
      <c r="BK69">
        <v>67797.550226707768</v>
      </c>
      <c r="BL69">
        <v>6.5846082331718112E-2</v>
      </c>
      <c r="BM69">
        <v>759.91646034947144</v>
      </c>
      <c r="BN69">
        <v>0</v>
      </c>
      <c r="BO69">
        <v>0</v>
      </c>
      <c r="BP69">
        <v>0</v>
      </c>
      <c r="BQ69">
        <v>420.90406538590929</v>
      </c>
      <c r="BR69">
        <v>0</v>
      </c>
      <c r="BS69">
        <v>0</v>
      </c>
      <c r="BT69">
        <v>61598.726949036405</v>
      </c>
      <c r="BU69">
        <v>135337.80082419</v>
      </c>
      <c r="BV69">
        <v>1141790.8640276229</v>
      </c>
      <c r="BW69">
        <v>7747.4763865216901</v>
      </c>
      <c r="BX69">
        <v>2004063.5102899116</v>
      </c>
      <c r="BY69">
        <v>15823.51200547507</v>
      </c>
      <c r="BZ69">
        <v>29927.532037377288</v>
      </c>
      <c r="CA69">
        <v>252335.59723436125</v>
      </c>
      <c r="CB69">
        <v>4646837.9430179903</v>
      </c>
      <c r="CC69">
        <v>12093910.639969973</v>
      </c>
      <c r="CD69">
        <v>0</v>
      </c>
      <c r="CE69">
        <v>0</v>
      </c>
      <c r="CF69">
        <v>0</v>
      </c>
      <c r="CG69">
        <v>0</v>
      </c>
      <c r="CH69">
        <v>87306.767491882099</v>
      </c>
      <c r="CI69">
        <v>218031.35437616371</v>
      </c>
      <c r="CJ69">
        <v>145354.23624507233</v>
      </c>
      <c r="CK69">
        <v>38551.96596094039</v>
      </c>
      <c r="CL69">
        <v>204245.8493238168</v>
      </c>
    </row>
    <row r="70" spans="1:91" x14ac:dyDescent="0.45">
      <c r="A70" s="15" t="s">
        <v>81</v>
      </c>
      <c r="B70" s="15" t="s">
        <v>85</v>
      </c>
      <c r="C70" s="15">
        <v>1549468.1037576899</v>
      </c>
      <c r="D70" t="s">
        <v>336</v>
      </c>
      <c r="E70" s="2">
        <f t="shared" si="11"/>
        <v>1549.46810375769</v>
      </c>
      <c r="F70" s="3">
        <f>IF(LEFT(A70,2)="DK",$D$46*E70,$D$47*E70)</f>
        <v>513.1838359645468</v>
      </c>
      <c r="G70">
        <f t="shared" si="12"/>
        <v>6671.3898675391083</v>
      </c>
      <c r="M70" t="s">
        <v>299</v>
      </c>
      <c r="O70" t="str">
        <f t="shared" si="14"/>
        <v>NO1-NO3</v>
      </c>
      <c r="P70">
        <f>VLOOKUP(O70,$D$64:$G$173,4,FALSE)</f>
        <v>989.37883890640148</v>
      </c>
      <c r="AR70" t="s">
        <v>112</v>
      </c>
      <c r="AS70">
        <v>6102145.4309999999</v>
      </c>
      <c r="AT70">
        <v>43830276.839999996</v>
      </c>
      <c r="AU70">
        <v>3764094.0660000001</v>
      </c>
      <c r="AV70">
        <v>27784336.32</v>
      </c>
      <c r="AW70">
        <v>674321.33801999991</v>
      </c>
      <c r="AX70">
        <v>5683893.1199999992</v>
      </c>
      <c r="AY70">
        <v>18282.234519999998</v>
      </c>
      <c r="AZ70">
        <v>135642.45120000001</v>
      </c>
      <c r="BA70">
        <v>842065.49795999995</v>
      </c>
      <c r="BB70">
        <v>4847246.3970000008</v>
      </c>
      <c r="BC70">
        <v>0</v>
      </c>
      <c r="BD70">
        <v>222997.93470353255</v>
      </c>
      <c r="BE70">
        <v>0</v>
      </c>
      <c r="BF70">
        <v>0</v>
      </c>
      <c r="BG70">
        <v>108452.68689139039</v>
      </c>
      <c r="BH70">
        <v>0</v>
      </c>
      <c r="BI70">
        <v>0</v>
      </c>
      <c r="BJ70">
        <v>0</v>
      </c>
      <c r="BK70">
        <v>159205.58646409021</v>
      </c>
      <c r="BL70">
        <v>0.37626332760981773</v>
      </c>
      <c r="BM70">
        <v>1784.3572700280133</v>
      </c>
      <c r="BN70">
        <v>0</v>
      </c>
      <c r="BO70">
        <v>0</v>
      </c>
      <c r="BP70">
        <v>0</v>
      </c>
      <c r="BQ70">
        <v>988.30292499512962</v>
      </c>
      <c r="BR70">
        <v>0</v>
      </c>
      <c r="BS70">
        <v>0</v>
      </c>
      <c r="BT70">
        <v>346113.29246247979</v>
      </c>
      <c r="BU70">
        <v>243275.69366683779</v>
      </c>
      <c r="BV70">
        <v>2148370.9387727603</v>
      </c>
      <c r="BW70">
        <v>14577.49719499305</v>
      </c>
      <c r="BX70">
        <v>3770805.968594267</v>
      </c>
      <c r="BY70">
        <v>29773.204894957118</v>
      </c>
      <c r="BZ70">
        <v>56311.047954519789</v>
      </c>
      <c r="CA70">
        <v>131608.81912453866</v>
      </c>
      <c r="CB70">
        <v>0</v>
      </c>
      <c r="CC70">
        <v>0</v>
      </c>
      <c r="CD70">
        <v>0</v>
      </c>
      <c r="CE70">
        <v>0</v>
      </c>
      <c r="CF70">
        <v>0</v>
      </c>
      <c r="CG70">
        <v>0</v>
      </c>
      <c r="CH70">
        <v>205004.45429496671</v>
      </c>
      <c r="CI70">
        <v>113717.00512468744</v>
      </c>
      <c r="CJ70">
        <v>75811.336746817484</v>
      </c>
      <c r="CK70">
        <v>20107.264495469892</v>
      </c>
      <c r="CL70">
        <v>106527.00094767629</v>
      </c>
    </row>
    <row r="71" spans="1:91" x14ac:dyDescent="0.45">
      <c r="A71" s="15" t="s">
        <v>81</v>
      </c>
      <c r="B71" s="15" t="s">
        <v>84</v>
      </c>
      <c r="C71" s="15">
        <v>873992.81013959297</v>
      </c>
      <c r="D71" t="s">
        <v>337</v>
      </c>
      <c r="E71" s="2">
        <f t="shared" si="11"/>
        <v>873.99281013959296</v>
      </c>
      <c r="F71" s="3">
        <f t="shared" si="13"/>
        <v>289.46641871823311</v>
      </c>
      <c r="G71">
        <f t="shared" si="12"/>
        <v>3763.0634433370305</v>
      </c>
      <c r="M71" t="s">
        <v>300</v>
      </c>
      <c r="O71" t="str">
        <f t="shared" si="14"/>
        <v>NO1-NO5</v>
      </c>
      <c r="P71">
        <f>VLOOKUP(O71,$D$64:$G$173,4,FALSE)</f>
        <v>829.89721382812309</v>
      </c>
      <c r="AR71" t="s">
        <v>113</v>
      </c>
      <c r="AS71">
        <v>8781963.2100000009</v>
      </c>
      <c r="AT71">
        <v>38982402.479999997</v>
      </c>
      <c r="AU71">
        <v>2755199.0059999996</v>
      </c>
      <c r="AV71">
        <v>25864367.040000003</v>
      </c>
      <c r="AW71">
        <v>967280.00731999998</v>
      </c>
      <c r="AX71">
        <v>4730569.7280000001</v>
      </c>
      <c r="AY71">
        <v>113.51648</v>
      </c>
      <c r="AZ71">
        <v>411.14879999999994</v>
      </c>
      <c r="BA71">
        <v>1268648.4516000003</v>
      </c>
      <c r="BB71">
        <v>4360177.4970000004</v>
      </c>
      <c r="BC71">
        <v>0</v>
      </c>
      <c r="BD71">
        <v>130200.8920940656</v>
      </c>
      <c r="BE71">
        <v>0</v>
      </c>
      <c r="BF71">
        <v>0</v>
      </c>
      <c r="BG71">
        <v>63681.031390356038</v>
      </c>
      <c r="BH71">
        <v>0</v>
      </c>
      <c r="BI71">
        <v>0</v>
      </c>
      <c r="BJ71">
        <v>0</v>
      </c>
      <c r="BK71">
        <v>225073.85582782229</v>
      </c>
      <c r="BL71">
        <v>0</v>
      </c>
      <c r="BM71">
        <v>944.4424906371961</v>
      </c>
      <c r="BN71">
        <v>0</v>
      </c>
      <c r="BO71">
        <v>0</v>
      </c>
      <c r="BP71">
        <v>0</v>
      </c>
      <c r="BQ71">
        <v>1095.334409455882</v>
      </c>
      <c r="BR71">
        <v>0</v>
      </c>
      <c r="BS71">
        <v>0</v>
      </c>
      <c r="BT71">
        <v>60961.103214424264</v>
      </c>
      <c r="BU71">
        <v>234028.23071989566</v>
      </c>
      <c r="BV71">
        <v>2198722.3452212703</v>
      </c>
      <c r="BW71">
        <v>14919.150246158579</v>
      </c>
      <c r="BX71">
        <v>3859182.4125949466</v>
      </c>
      <c r="BY71">
        <v>30471.000007470084</v>
      </c>
      <c r="BZ71">
        <v>57630.810948855746</v>
      </c>
      <c r="CA71">
        <v>270583.83071609063</v>
      </c>
      <c r="CB71">
        <v>663831.90552878019</v>
      </c>
      <c r="CC71">
        <v>1727696.0900882883</v>
      </c>
      <c r="CD71">
        <v>0</v>
      </c>
      <c r="CE71">
        <v>0</v>
      </c>
      <c r="CF71">
        <v>0</v>
      </c>
      <c r="CG71">
        <v>0</v>
      </c>
      <c r="CH71">
        <v>110419.84737799445</v>
      </c>
      <c r="CI71">
        <v>233798.79501517996</v>
      </c>
      <c r="CJ71">
        <v>155865.86333733733</v>
      </c>
      <c r="CK71">
        <v>41339.940362813642</v>
      </c>
      <c r="CL71">
        <v>219016.35934607152</v>
      </c>
    </row>
    <row r="72" spans="1:91" x14ac:dyDescent="0.45">
      <c r="A72" s="15" t="s">
        <v>81</v>
      </c>
      <c r="B72" s="15" t="s">
        <v>88</v>
      </c>
      <c r="C72" s="15">
        <v>922122.90813419595</v>
      </c>
      <c r="D72" t="s">
        <v>338</v>
      </c>
      <c r="E72" s="2">
        <f t="shared" si="11"/>
        <v>922.122908134196</v>
      </c>
      <c r="F72" s="3">
        <f t="shared" si="13"/>
        <v>305.40710717404568</v>
      </c>
      <c r="G72">
        <f t="shared" si="12"/>
        <v>3970.2923932625936</v>
      </c>
      <c r="M72" t="s">
        <v>301</v>
      </c>
      <c r="O72" t="str">
        <f t="shared" si="14"/>
        <v>NO2-NO1</v>
      </c>
      <c r="P72">
        <f t="shared" si="15"/>
        <v>887.81336092404422</v>
      </c>
      <c r="AR72" t="s">
        <v>113</v>
      </c>
      <c r="AS72">
        <v>10435902.569999998</v>
      </c>
      <c r="AT72">
        <v>31789300.200000003</v>
      </c>
      <c r="AU72">
        <v>3013822.9780000001</v>
      </c>
      <c r="AV72">
        <v>25110355.199999999</v>
      </c>
      <c r="AW72">
        <v>1116596.7471999999</v>
      </c>
      <c r="AX72">
        <v>3238091.6159999999</v>
      </c>
      <c r="AY72">
        <v>1809.1688999999999</v>
      </c>
      <c r="AZ72">
        <v>92834.371199999994</v>
      </c>
      <c r="BA72">
        <v>1468225.9680000001</v>
      </c>
      <c r="BB72">
        <v>3099278.8470000001</v>
      </c>
      <c r="BC72">
        <v>0</v>
      </c>
      <c r="BD72">
        <v>142850.56340964217</v>
      </c>
      <c r="BE72">
        <v>0</v>
      </c>
      <c r="BF72">
        <v>0</v>
      </c>
      <c r="BG72">
        <v>151809.27356113083</v>
      </c>
      <c r="BH72">
        <v>0</v>
      </c>
      <c r="BI72">
        <v>0</v>
      </c>
      <c r="BJ72">
        <v>0</v>
      </c>
      <c r="BK72">
        <v>402200.4637626395</v>
      </c>
      <c r="BL72">
        <v>0</v>
      </c>
      <c r="BM72">
        <v>1687.6028570883363</v>
      </c>
      <c r="BN72">
        <v>0</v>
      </c>
      <c r="BO72">
        <v>0</v>
      </c>
      <c r="BP72">
        <v>0</v>
      </c>
      <c r="BQ72">
        <v>1957.313934583095</v>
      </c>
      <c r="BR72">
        <v>0</v>
      </c>
      <c r="BS72">
        <v>0</v>
      </c>
      <c r="BT72">
        <v>50985.749512069335</v>
      </c>
      <c r="BU72">
        <v>431128.71547366423</v>
      </c>
      <c r="BV72">
        <v>3502632.7989897751</v>
      </c>
      <c r="BW72">
        <v>23766.668446712378</v>
      </c>
      <c r="BX72">
        <v>6147797.1172750769</v>
      </c>
      <c r="BY72">
        <v>48541.246818247964</v>
      </c>
      <c r="BZ72">
        <v>91807.666893715112</v>
      </c>
      <c r="CA72">
        <v>258994.24341687892</v>
      </c>
      <c r="CB72">
        <v>1991499.3676654655</v>
      </c>
      <c r="CC72">
        <v>5183097.7726028496</v>
      </c>
      <c r="CD72">
        <v>0</v>
      </c>
      <c r="CE72">
        <v>0</v>
      </c>
      <c r="CF72">
        <v>0</v>
      </c>
      <c r="CG72">
        <v>0</v>
      </c>
      <c r="CH72">
        <v>197307.00643079335</v>
      </c>
      <c r="CI72">
        <v>223784.78080508724</v>
      </c>
      <c r="CJ72">
        <v>149189.85386420437</v>
      </c>
      <c r="CK72">
        <v>39569.277899772511</v>
      </c>
      <c r="CL72">
        <v>209635.50289387256</v>
      </c>
    </row>
    <row r="73" spans="1:91" x14ac:dyDescent="0.45">
      <c r="A73" s="15" t="s">
        <v>81</v>
      </c>
      <c r="B73" s="15" t="s">
        <v>89</v>
      </c>
      <c r="C73" s="15">
        <v>466462.25705574098</v>
      </c>
      <c r="D73" t="s">
        <v>339</v>
      </c>
      <c r="E73" s="2">
        <f t="shared" si="11"/>
        <v>466.46225705574096</v>
      </c>
      <c r="F73" s="3">
        <f t="shared" si="13"/>
        <v>154.49229953686137</v>
      </c>
      <c r="G73">
        <f t="shared" si="12"/>
        <v>2008.3998939791977</v>
      </c>
      <c r="M73" t="s">
        <v>302</v>
      </c>
      <c r="O73" t="str">
        <f t="shared" si="14"/>
        <v>NO2-NO5</v>
      </c>
      <c r="P73">
        <f t="shared" si="15"/>
        <v>859.09322682355798</v>
      </c>
      <c r="AR73" t="s">
        <v>177</v>
      </c>
      <c r="AS73">
        <f t="shared" ref="AS73:CL73" si="16">SUM(AS52:AS72)</f>
        <v>93974429.335199982</v>
      </c>
      <c r="AT73">
        <f t="shared" si="16"/>
        <v>396670695.23799998</v>
      </c>
      <c r="AU73">
        <f t="shared" si="16"/>
        <v>44865801.527199998</v>
      </c>
      <c r="AV73">
        <f t="shared" si="16"/>
        <v>266726985.49559996</v>
      </c>
      <c r="AW73">
        <f t="shared" si="16"/>
        <v>12861024.10768</v>
      </c>
      <c r="AX73">
        <f t="shared" si="16"/>
        <v>58994247.385639988</v>
      </c>
      <c r="AY73">
        <f t="shared" si="16"/>
        <v>1729756.4657799997</v>
      </c>
      <c r="AZ73">
        <f t="shared" si="16"/>
        <v>8680845.285600001</v>
      </c>
      <c r="BA73">
        <f t="shared" si="16"/>
        <v>12426591.43296</v>
      </c>
      <c r="BB73">
        <f t="shared" si="16"/>
        <v>44720523.26078514</v>
      </c>
      <c r="BC73">
        <f t="shared" si="16"/>
        <v>5459809.8843675284</v>
      </c>
      <c r="BD73">
        <f t="shared" si="16"/>
        <v>8281498.944249751</v>
      </c>
      <c r="BE73">
        <f t="shared" si="16"/>
        <v>0</v>
      </c>
      <c r="BF73">
        <f t="shared" si="16"/>
        <v>383650.71542552032</v>
      </c>
      <c r="BG73">
        <f t="shared" si="16"/>
        <v>3681924.3186444091</v>
      </c>
      <c r="BH73">
        <f t="shared" si="16"/>
        <v>0</v>
      </c>
      <c r="BI73">
        <f t="shared" si="16"/>
        <v>0</v>
      </c>
      <c r="BJ73">
        <f t="shared" si="16"/>
        <v>8684014.0145237576</v>
      </c>
      <c r="BK73">
        <f t="shared" si="16"/>
        <v>21729151.435250103</v>
      </c>
      <c r="BL73">
        <f t="shared" si="16"/>
        <v>1663305.2123302137</v>
      </c>
      <c r="BM73">
        <f t="shared" si="16"/>
        <v>1446386.7016223802</v>
      </c>
      <c r="BN73">
        <f t="shared" si="16"/>
        <v>371693.43764082104</v>
      </c>
      <c r="BO73">
        <f t="shared" si="16"/>
        <v>0</v>
      </c>
      <c r="BP73">
        <f t="shared" si="16"/>
        <v>27842.995297670415</v>
      </c>
      <c r="BQ73">
        <f t="shared" si="16"/>
        <v>14831.639536335571</v>
      </c>
      <c r="BR73">
        <f t="shared" si="16"/>
        <v>0</v>
      </c>
      <c r="BS73">
        <f t="shared" si="16"/>
        <v>1524765.7351265461</v>
      </c>
      <c r="BT73">
        <f t="shared" si="16"/>
        <v>10814827.624209616</v>
      </c>
      <c r="BU73">
        <f t="shared" si="16"/>
        <v>6047627.9304529857</v>
      </c>
      <c r="BV73">
        <f t="shared" si="16"/>
        <v>46712322.62150757</v>
      </c>
      <c r="BW73">
        <f t="shared" si="16"/>
        <v>5273026.2217949796</v>
      </c>
      <c r="BX73">
        <f t="shared" si="16"/>
        <v>81994652.041671917</v>
      </c>
      <c r="BY73">
        <f t="shared" si="16"/>
        <v>721110.30558335339</v>
      </c>
      <c r="BZ73">
        <f t="shared" si="16"/>
        <v>2529484.9760573469</v>
      </c>
      <c r="CA73">
        <f t="shared" si="16"/>
        <v>9903585.3615612146</v>
      </c>
      <c r="CB73">
        <f t="shared" si="16"/>
        <v>38638548.892626218</v>
      </c>
      <c r="CC73">
        <f t="shared" si="16"/>
        <v>91568063.816763029</v>
      </c>
      <c r="CD73">
        <f t="shared" si="16"/>
        <v>0</v>
      </c>
      <c r="CE73">
        <f t="shared" si="16"/>
        <v>0</v>
      </c>
      <c r="CF73">
        <f t="shared" si="16"/>
        <v>0</v>
      </c>
      <c r="CG73">
        <f t="shared" si="16"/>
        <v>1354583.1187030198</v>
      </c>
      <c r="CH73">
        <f t="shared" si="16"/>
        <v>11498889.500454279</v>
      </c>
      <c r="CI73">
        <f t="shared" si="16"/>
        <v>8162128.2027026769</v>
      </c>
      <c r="CJ73">
        <f t="shared" si="16"/>
        <v>5139505.9131205324</v>
      </c>
      <c r="CK73">
        <f t="shared" si="16"/>
        <v>2367021.2707130499</v>
      </c>
      <c r="CL73">
        <f t="shared" si="16"/>
        <v>6941534.9892940857</v>
      </c>
      <c r="CM73">
        <f>SUM(AS73:CL73)</f>
        <v>1324586687.3556759</v>
      </c>
    </row>
    <row r="74" spans="1:91" x14ac:dyDescent="0.45">
      <c r="A74" s="15" t="s">
        <v>80</v>
      </c>
      <c r="B74" s="15" t="s">
        <v>83</v>
      </c>
      <c r="C74" s="15">
        <v>363089.58113641501</v>
      </c>
      <c r="D74" t="s">
        <v>340</v>
      </c>
      <c r="E74" s="2">
        <f t="shared" si="11"/>
        <v>363.08958113641501</v>
      </c>
      <c r="F74" s="3">
        <f t="shared" si="13"/>
        <v>120.25526927238063</v>
      </c>
      <c r="G74">
        <f t="shared" si="12"/>
        <v>1563.3185005409482</v>
      </c>
      <c r="M74" t="s">
        <v>303</v>
      </c>
      <c r="O74" t="str">
        <f t="shared" si="14"/>
        <v>NO3-NO4</v>
      </c>
      <c r="P74">
        <f t="shared" si="15"/>
        <v>2994.1023823421115</v>
      </c>
      <c r="AR74" t="s">
        <v>183</v>
      </c>
      <c r="AS74" s="20">
        <f>AS73/$CM$73</f>
        <v>7.0946228157256208E-2</v>
      </c>
      <c r="AT74" s="20">
        <f t="shared" ref="AT74:CL74" si="17">AT73/$CM$73</f>
        <v>0.29946752373745289</v>
      </c>
      <c r="AU74" s="20">
        <f t="shared" si="17"/>
        <v>3.3871547974536377E-2</v>
      </c>
      <c r="AV74" s="20">
        <f t="shared" si="17"/>
        <v>0.20136619825772026</v>
      </c>
      <c r="AW74" s="20">
        <f t="shared" si="17"/>
        <v>9.7094620008260565E-3</v>
      </c>
      <c r="AX74" s="20">
        <f t="shared" si="17"/>
        <v>4.4537853164908749E-2</v>
      </c>
      <c r="AY74" s="20">
        <f t="shared" si="17"/>
        <v>1.3058839276372165E-3</v>
      </c>
      <c r="AZ74" s="20">
        <f t="shared" si="17"/>
        <v>6.5536256467516752E-3</v>
      </c>
      <c r="BA74" s="20">
        <f t="shared" si="17"/>
        <v>9.3814859771599313E-3</v>
      </c>
      <c r="BB74" s="20">
        <f t="shared" si="17"/>
        <v>3.3761869787520257E-2</v>
      </c>
      <c r="BC74" s="20">
        <f t="shared" si="17"/>
        <v>4.1218969935951566E-3</v>
      </c>
      <c r="BD74" s="20">
        <f t="shared" si="17"/>
        <v>6.2521381373554568E-3</v>
      </c>
      <c r="BE74" s="20">
        <f t="shared" si="17"/>
        <v>0</v>
      </c>
      <c r="BF74" s="20">
        <f t="shared" si="17"/>
        <v>2.896380577336295E-4</v>
      </c>
      <c r="BG74" s="20">
        <f t="shared" si="17"/>
        <v>2.7796778827626437E-3</v>
      </c>
      <c r="BH74" s="20">
        <f t="shared" si="17"/>
        <v>0</v>
      </c>
      <c r="BI74" s="20">
        <f t="shared" si="17"/>
        <v>0</v>
      </c>
      <c r="BJ74" s="20">
        <f t="shared" si="17"/>
        <v>6.5560178865001232E-3</v>
      </c>
      <c r="BK74" s="20">
        <f t="shared" si="17"/>
        <v>1.6404476688972963E-2</v>
      </c>
      <c r="BL74" s="20">
        <f t="shared" si="17"/>
        <v>1.2557163892766693E-3</v>
      </c>
      <c r="BM74" s="20">
        <f t="shared" si="17"/>
        <v>1.0919532224122367E-3</v>
      </c>
      <c r="BN74" s="20">
        <f t="shared" si="17"/>
        <v>2.806108812574941E-4</v>
      </c>
      <c r="BO74" s="20">
        <f t="shared" si="17"/>
        <v>0</v>
      </c>
      <c r="BP74" s="20">
        <f t="shared" si="17"/>
        <v>2.1020138254034904E-5</v>
      </c>
      <c r="BQ74" s="20">
        <f t="shared" si="17"/>
        <v>1.1197182998981026E-5</v>
      </c>
      <c r="BR74" s="20">
        <f t="shared" si="17"/>
        <v>0</v>
      </c>
      <c r="BS74" s="20">
        <f t="shared" si="17"/>
        <v>1.1511256678643626E-3</v>
      </c>
      <c r="BT74" s="20">
        <f t="shared" si="17"/>
        <v>8.1646808981597711E-3</v>
      </c>
      <c r="BU74" s="20">
        <f t="shared" si="17"/>
        <v>4.5656716832373585E-3</v>
      </c>
      <c r="BV74" s="20">
        <f t="shared" si="17"/>
        <v>3.5265583647651783E-2</v>
      </c>
      <c r="BW74" s="20">
        <f t="shared" si="17"/>
        <v>3.9808842049603617E-3</v>
      </c>
      <c r="BX74" s="20">
        <f t="shared" si="17"/>
        <v>6.1902065621209763E-2</v>
      </c>
      <c r="BY74" s="20">
        <f t="shared" si="17"/>
        <v>5.4440401105263565E-4</v>
      </c>
      <c r="BZ74" s="20">
        <f t="shared" si="17"/>
        <v>1.9096409470240536E-3</v>
      </c>
      <c r="CA74" s="20">
        <f t="shared" si="17"/>
        <v>7.4767362952530714E-3</v>
      </c>
      <c r="CB74" s="20">
        <f t="shared" si="17"/>
        <v>2.9170268176076767E-2</v>
      </c>
      <c r="CC74" s="20">
        <f t="shared" si="17"/>
        <v>6.9129536549671897E-2</v>
      </c>
      <c r="CD74" s="20">
        <f t="shared" si="17"/>
        <v>0</v>
      </c>
      <c r="CE74" s="20">
        <f t="shared" si="17"/>
        <v>0</v>
      </c>
      <c r="CF74" s="20">
        <f t="shared" si="17"/>
        <v>0</v>
      </c>
      <c r="CG74" s="20">
        <f t="shared" si="17"/>
        <v>1.0226458801327885E-3</v>
      </c>
      <c r="CH74" s="20">
        <f t="shared" si="17"/>
        <v>8.6811151057315551E-3</v>
      </c>
      <c r="CI74" s="20">
        <f t="shared" si="17"/>
        <v>6.1620189003990756E-3</v>
      </c>
      <c r="CJ74" s="20">
        <f t="shared" si="17"/>
        <v>3.8800827172593201E-3</v>
      </c>
      <c r="CK74" s="20">
        <f t="shared" si="17"/>
        <v>1.7869885703278709E-3</v>
      </c>
      <c r="CL74" s="20">
        <f t="shared" si="17"/>
        <v>5.2405290310985559E-3</v>
      </c>
    </row>
    <row r="75" spans="1:91" x14ac:dyDescent="0.45">
      <c r="A75" s="15" t="s">
        <v>80</v>
      </c>
      <c r="B75" s="15" t="s">
        <v>87</v>
      </c>
      <c r="C75" s="15">
        <v>1294263.52159159</v>
      </c>
      <c r="D75" t="s">
        <v>341</v>
      </c>
      <c r="E75" s="2">
        <f t="shared" si="11"/>
        <v>1294.26352159159</v>
      </c>
      <c r="F75" s="3">
        <f t="shared" si="13"/>
        <v>428.66007835113453</v>
      </c>
      <c r="G75">
        <f t="shared" si="12"/>
        <v>5572.5810185647488</v>
      </c>
      <c r="M75" t="s">
        <v>304</v>
      </c>
      <c r="O75" t="str">
        <f t="shared" si="14"/>
        <v>NO5-NO3</v>
      </c>
      <c r="P75">
        <f t="shared" si="15"/>
        <v>1114.979611468164</v>
      </c>
    </row>
    <row r="76" spans="1:91" x14ac:dyDescent="0.45">
      <c r="A76" s="15" t="s">
        <v>80</v>
      </c>
      <c r="B76" s="15" t="s">
        <v>81</v>
      </c>
      <c r="C76" s="15">
        <v>179417.71716434101</v>
      </c>
      <c r="D76" t="s">
        <v>329</v>
      </c>
      <c r="E76" s="2">
        <f t="shared" si="11"/>
        <v>179.41771716434101</v>
      </c>
      <c r="F76" s="3">
        <f t="shared" si="13"/>
        <v>59.423147924829735</v>
      </c>
      <c r="G76">
        <f t="shared" si="12"/>
        <v>772.50092302278654</v>
      </c>
      <c r="M76" t="s">
        <v>305</v>
      </c>
      <c r="O76" t="str">
        <f t="shared" si="14"/>
        <v>SE1-NO4</v>
      </c>
      <c r="P76">
        <f>VLOOKUP(O76,$D$64:$G$173,4,FALSE)</f>
        <v>888.6497785217141</v>
      </c>
    </row>
    <row r="77" spans="1:91" x14ac:dyDescent="0.45">
      <c r="A77" s="15" t="s">
        <v>80</v>
      </c>
      <c r="B77" s="15" t="s">
        <v>90</v>
      </c>
      <c r="C77" s="15">
        <v>333761.24203193898</v>
      </c>
      <c r="D77" t="s">
        <v>342</v>
      </c>
      <c r="E77" s="2">
        <f t="shared" si="11"/>
        <v>333.76124203193899</v>
      </c>
      <c r="F77" s="3">
        <f t="shared" si="13"/>
        <v>110.54172336097817</v>
      </c>
      <c r="G77">
        <f t="shared" si="12"/>
        <v>1437.0424036927161</v>
      </c>
      <c r="M77" t="s">
        <v>306</v>
      </c>
      <c r="O77" t="str">
        <f t="shared" si="14"/>
        <v>SE2-NO3</v>
      </c>
      <c r="P77">
        <f t="shared" si="15"/>
        <v>1124.0136257615575</v>
      </c>
      <c r="AP77" t="s">
        <v>180</v>
      </c>
      <c r="AR77" t="s">
        <v>168</v>
      </c>
      <c r="AS77">
        <v>1.4619883040935672E-2</v>
      </c>
      <c r="AT77">
        <v>1.4392630972941852E-2</v>
      </c>
      <c r="AU77">
        <v>1.4619883040935672E-2</v>
      </c>
      <c r="AV77">
        <v>1.4467592592592593E-2</v>
      </c>
      <c r="AW77">
        <v>1.4854426619132501E-2</v>
      </c>
      <c r="AX77">
        <v>1.4467592592592593E-2</v>
      </c>
      <c r="AY77">
        <v>1.4854426619132501E-2</v>
      </c>
      <c r="AZ77">
        <v>1.4467592592592593E-2</v>
      </c>
      <c r="BA77">
        <v>1.4934289127837513E-2</v>
      </c>
      <c r="BB77">
        <v>1.4934289127837513E-2</v>
      </c>
      <c r="BC77">
        <v>1.5449264615004324E-2</v>
      </c>
      <c r="BD77">
        <v>1.6693376068376068E-2</v>
      </c>
      <c r="BE77">
        <v>1.5982610919319781E-2</v>
      </c>
      <c r="BF77">
        <v>1.7840576607435949E-2</v>
      </c>
      <c r="BG77">
        <v>1.6835016835016835E-2</v>
      </c>
      <c r="BH77">
        <v>1.5096618357487924E-2</v>
      </c>
      <c r="BI77">
        <v>1.534683855125844E-2</v>
      </c>
      <c r="BJ77">
        <v>1.9196805651539584E-2</v>
      </c>
      <c r="BK77">
        <v>1.7415534656913968E-2</v>
      </c>
      <c r="BL77">
        <v>1.5720304345092119E-2</v>
      </c>
      <c r="BM77">
        <v>1.630151278038602E-2</v>
      </c>
      <c r="BN77">
        <v>1.6733601070950465E-2</v>
      </c>
      <c r="BO77">
        <v>1.3751375137513752E-2</v>
      </c>
      <c r="BP77">
        <v>1.5873015873015872E-2</v>
      </c>
      <c r="BQ77">
        <v>1.614987080103359E-2</v>
      </c>
      <c r="BR77">
        <v>1.614987080103359E-2</v>
      </c>
      <c r="BS77">
        <v>1.66333998669328E-2</v>
      </c>
      <c r="BT77">
        <v>1.4854426619132501E-2</v>
      </c>
      <c r="BU77">
        <v>1.4854426619132501E-2</v>
      </c>
      <c r="BV77">
        <v>1.4799029183685549E-2</v>
      </c>
      <c r="BW77">
        <v>1.4799029183685549E-2</v>
      </c>
      <c r="BX77">
        <v>1.5457861868546344E-2</v>
      </c>
      <c r="BY77">
        <v>1.5457861868546344E-2</v>
      </c>
      <c r="BZ77">
        <v>1.5113045580945471E-2</v>
      </c>
      <c r="CA77">
        <v>1.5113045580945471E-2</v>
      </c>
      <c r="CB77">
        <v>1.4467592592592593E-2</v>
      </c>
      <c r="CC77">
        <v>2.2900064120179534E-2</v>
      </c>
      <c r="CD77">
        <v>1.3656724571178849E-2</v>
      </c>
      <c r="CF77">
        <v>1.5146007512419726E-2</v>
      </c>
      <c r="CG77">
        <v>1.4259639516313026E-2</v>
      </c>
      <c r="CH77">
        <v>1.332267519317879E-2</v>
      </c>
      <c r="CI77">
        <v>4.1459369817578771E-2</v>
      </c>
      <c r="CJ77">
        <v>4.1459369817578771E-2</v>
      </c>
      <c r="CK77">
        <v>1.4895848229181562E-2</v>
      </c>
      <c r="CL77">
        <v>1.4895848229181562E-2</v>
      </c>
    </row>
    <row r="78" spans="1:91" x14ac:dyDescent="0.45">
      <c r="A78" s="15" t="s">
        <v>80</v>
      </c>
      <c r="B78" s="15" t="s">
        <v>86</v>
      </c>
      <c r="C78" s="15">
        <v>588048.91917504999</v>
      </c>
      <c r="D78" t="s">
        <v>343</v>
      </c>
      <c r="E78" s="2">
        <f t="shared" si="11"/>
        <v>588.04891917504995</v>
      </c>
      <c r="F78" s="3">
        <f t="shared" si="13"/>
        <v>194.76180203077649</v>
      </c>
      <c r="G78">
        <f t="shared" si="12"/>
        <v>2531.9034264000943</v>
      </c>
      <c r="M78" t="s">
        <v>307</v>
      </c>
      <c r="O78" t="str">
        <f t="shared" si="14"/>
        <v>SE2-SE1</v>
      </c>
      <c r="P78">
        <f t="shared" si="15"/>
        <v>1553.3553725003219</v>
      </c>
    </row>
    <row r="79" spans="1:91" x14ac:dyDescent="0.45">
      <c r="A79" s="15" t="s">
        <v>80</v>
      </c>
      <c r="B79" s="15" t="s">
        <v>82</v>
      </c>
      <c r="C79" s="15">
        <v>527550.74433005496</v>
      </c>
      <c r="D79" t="s">
        <v>344</v>
      </c>
      <c r="E79" s="2">
        <f t="shared" si="11"/>
        <v>527.55074433005495</v>
      </c>
      <c r="F79" s="3">
        <f t="shared" si="13"/>
        <v>174.72480652211416</v>
      </c>
      <c r="G79">
        <f t="shared" si="12"/>
        <v>2271.4224847874843</v>
      </c>
      <c r="M79" t="s">
        <v>308</v>
      </c>
      <c r="O79" t="str">
        <f t="shared" si="14"/>
        <v>SE3-NO1</v>
      </c>
      <c r="P79">
        <f t="shared" si="15"/>
        <v>1128.6584864253336</v>
      </c>
    </row>
    <row r="80" spans="1:91" x14ac:dyDescent="0.45">
      <c r="A80" s="15" t="s">
        <v>80</v>
      </c>
      <c r="B80" s="15" t="s">
        <v>85</v>
      </c>
      <c r="C80" s="15">
        <v>1511279.0396215999</v>
      </c>
      <c r="D80" t="s">
        <v>345</v>
      </c>
      <c r="E80" s="2">
        <f t="shared" si="11"/>
        <v>1511.2790396215998</v>
      </c>
      <c r="F80" s="3">
        <f t="shared" si="13"/>
        <v>500.53561792267379</v>
      </c>
      <c r="G80">
        <f t="shared" si="12"/>
        <v>6506.9630329947595</v>
      </c>
      <c r="M80" t="s">
        <v>309</v>
      </c>
      <c r="O80" t="str">
        <f t="shared" si="14"/>
        <v>SE3-SE2</v>
      </c>
      <c r="P80">
        <f t="shared" si="15"/>
        <v>1767.6560503655064</v>
      </c>
      <c r="AQ80" t="s">
        <v>184</v>
      </c>
      <c r="AR80" t="s">
        <v>168</v>
      </c>
      <c r="AS80" s="21">
        <f t="shared" ref="AS80:AZ80" si="18">AS77*AS50</f>
        <v>6.3065323223862721E-4</v>
      </c>
      <c r="AT80" s="21">
        <f t="shared" si="18"/>
        <v>1.6738274674388675E-3</v>
      </c>
      <c r="AU80" s="21">
        <f t="shared" si="18"/>
        <v>6.8624726964484667E-4</v>
      </c>
      <c r="AV80" s="21">
        <f t="shared" si="18"/>
        <v>7.5182714075387161E-4</v>
      </c>
      <c r="AW80" s="21">
        <f t="shared" si="18"/>
        <v>1.2689032930900064E-4</v>
      </c>
      <c r="AX80" s="21">
        <f t="shared" si="18"/>
        <v>2.9672867399363484E-4</v>
      </c>
      <c r="AY80" s="21">
        <f t="shared" si="18"/>
        <v>5.9733107770941428E-5</v>
      </c>
      <c r="AZ80" s="21">
        <f t="shared" si="18"/>
        <v>5.7910049300807333E-5</v>
      </c>
      <c r="BA80" s="21"/>
      <c r="BB80" s="21"/>
      <c r="BC80" s="21">
        <f>BC77*BC50</f>
        <v>5.6154647922745579E-4</v>
      </c>
      <c r="BD80" s="21">
        <f>BD77*BD50</f>
        <v>7.1450448702307988E-4</v>
      </c>
      <c r="BE80" s="21"/>
      <c r="BF80" s="21"/>
      <c r="BG80" s="21">
        <f>BG77*BG50</f>
        <v>3.1879454274328674E-4</v>
      </c>
      <c r="BH80" s="21"/>
      <c r="BI80" s="21"/>
      <c r="BJ80" s="21"/>
      <c r="BK80" s="21">
        <f>BK77*BK50</f>
        <v>3.1653697393526554E-3</v>
      </c>
      <c r="BL80" s="21">
        <f>BL77*BL50</f>
        <v>1.9823299689386296E-4</v>
      </c>
      <c r="BM80" s="21"/>
      <c r="BN80" s="21">
        <f>BN77*BN50</f>
        <v>6.9807275219835993E-5</v>
      </c>
      <c r="BO80" s="21"/>
      <c r="BP80" s="21"/>
      <c r="BQ80" s="21">
        <f>BQ77*BQ50</f>
        <v>2.0705502482798293E-6</v>
      </c>
      <c r="BR80" s="21"/>
      <c r="BS80" s="21"/>
      <c r="BT80" s="21"/>
      <c r="BU80" s="21">
        <f t="shared" ref="BU80:CB80" si="19">BU77*BU50</f>
        <v>1.6641026538836832E-4</v>
      </c>
      <c r="BV80" s="21">
        <f t="shared" si="19"/>
        <v>8.866710060439566E-5</v>
      </c>
      <c r="BW80" s="21">
        <f t="shared" si="19"/>
        <v>3.9201879739348657E-5</v>
      </c>
      <c r="BX80" s="21">
        <f t="shared" si="19"/>
        <v>1.5368982705170312E-4</v>
      </c>
      <c r="BY80" s="21">
        <f t="shared" si="19"/>
        <v>8.4937608645372454E-5</v>
      </c>
      <c r="BZ80" s="21">
        <f t="shared" si="19"/>
        <v>3.2669470819792626E-5</v>
      </c>
      <c r="CA80" s="21">
        <f t="shared" si="19"/>
        <v>3.8802549126273509E-4</v>
      </c>
      <c r="CB80" s="21">
        <f t="shared" si="19"/>
        <v>9.8773743456670373E-7</v>
      </c>
      <c r="CC80" s="21"/>
      <c r="CD80" s="21"/>
      <c r="CE80" s="21"/>
      <c r="CF80" s="21"/>
      <c r="CG80" s="21"/>
      <c r="CH80" s="21">
        <f>CH77*CH50</f>
        <v>2.4184770176654182E-3</v>
      </c>
      <c r="CI80" s="21">
        <f>CI77*CI50</f>
        <v>1.7832883563564492E-3</v>
      </c>
      <c r="CJ80" s="21">
        <f>CJ77*CJ50</f>
        <v>1.4011551370710596E-3</v>
      </c>
      <c r="CK80" s="21">
        <f>CK77*CK50</f>
        <v>2.1651110651521116E-4</v>
      </c>
      <c r="CL80" s="21">
        <f>CL77*CL50</f>
        <v>1.0691186329395386E-3</v>
      </c>
    </row>
    <row r="81" spans="1:90" x14ac:dyDescent="0.45">
      <c r="A81" s="15" t="s">
        <v>80</v>
      </c>
      <c r="B81" s="15" t="s">
        <v>84</v>
      </c>
      <c r="C81" s="15">
        <v>784048.79089354002</v>
      </c>
      <c r="D81" t="s">
        <v>346</v>
      </c>
      <c r="E81" s="2">
        <f t="shared" si="11"/>
        <v>784.04879089354006</v>
      </c>
      <c r="F81" s="3">
        <f t="shared" si="13"/>
        <v>259.67695954394043</v>
      </c>
      <c r="G81">
        <f t="shared" si="12"/>
        <v>3375.8004740712254</v>
      </c>
      <c r="M81" t="s">
        <v>310</v>
      </c>
      <c r="O81" t="str">
        <f t="shared" si="14"/>
        <v>SE4-SE3</v>
      </c>
      <c r="P81">
        <f t="shared" si="15"/>
        <v>1146.3236067166622</v>
      </c>
      <c r="AQ81" t="s">
        <v>185</v>
      </c>
      <c r="AR81" t="s">
        <v>168</v>
      </c>
      <c r="AS81" s="21">
        <f>AS77*AS74</f>
        <v>1.0372255578546229E-3</v>
      </c>
      <c r="AT81" s="21">
        <f t="shared" ref="AT81:CL81" si="20">AT77*AT74</f>
        <v>4.3101255575338634E-3</v>
      </c>
      <c r="AU81" s="21">
        <f t="shared" si="20"/>
        <v>4.9519806980316333E-4</v>
      </c>
      <c r="AV81" s="21">
        <f t="shared" si="20"/>
        <v>2.9132841183119249E-3</v>
      </c>
      <c r="AW81" s="21">
        <f t="shared" si="20"/>
        <v>1.4422849080252608E-4</v>
      </c>
      <c r="AX81" s="21">
        <f t="shared" si="20"/>
        <v>6.4435551453861039E-4</v>
      </c>
      <c r="AY81" s="21">
        <f t="shared" si="20"/>
        <v>1.939815697619157E-5</v>
      </c>
      <c r="AZ81" s="21">
        <f t="shared" si="20"/>
        <v>9.4815185861569373E-5</v>
      </c>
      <c r="BA81" s="21">
        <f t="shared" si="20"/>
        <v>1.4010582403165965E-4</v>
      </c>
      <c r="BB81" s="21">
        <f t="shared" si="20"/>
        <v>5.0420952490322953E-4</v>
      </c>
      <c r="BC81" s="21">
        <f t="shared" si="20"/>
        <v>6.3680277369842359E-5</v>
      </c>
      <c r="BD81" s="21">
        <f t="shared" si="20"/>
        <v>1.043692931583109E-4</v>
      </c>
      <c r="BE81" s="21"/>
      <c r="BF81" s="21"/>
      <c r="BG81" s="21">
        <f t="shared" si="20"/>
        <v>4.6795923952233057E-5</v>
      </c>
      <c r="BH81" s="21"/>
      <c r="BI81" s="21"/>
      <c r="BJ81" s="21"/>
      <c r="BK81" s="21">
        <f t="shared" si="20"/>
        <v>2.8569273230534591E-4</v>
      </c>
      <c r="BL81" s="21">
        <f t="shared" si="20"/>
        <v>1.9740243810549411E-5</v>
      </c>
      <c r="BM81" s="21">
        <f t="shared" si="20"/>
        <v>1.7800489410736776E-5</v>
      </c>
      <c r="BN81" s="21">
        <f t="shared" si="20"/>
        <v>4.6956305431307572E-6</v>
      </c>
      <c r="BO81" s="21"/>
      <c r="BP81" s="21"/>
      <c r="BQ81" s="21">
        <f t="shared" si="20"/>
        <v>1.808330587690734E-7</v>
      </c>
      <c r="BR81" s="21"/>
      <c r="BS81" s="21"/>
      <c r="BT81" s="21">
        <f t="shared" si="20"/>
        <v>1.2128165327034715E-4</v>
      </c>
      <c r="BU81" s="21">
        <f t="shared" si="20"/>
        <v>6.7820434985700506E-5</v>
      </c>
      <c r="BV81" s="21">
        <f t="shared" si="20"/>
        <v>5.218964015813026E-4</v>
      </c>
      <c r="BW81" s="21">
        <f t="shared" si="20"/>
        <v>5.8913221526081241E-5</v>
      </c>
      <c r="BX81" s="21">
        <f t="shared" si="20"/>
        <v>9.568735797503519E-4</v>
      </c>
      <c r="BY81" s="21">
        <f t="shared" si="20"/>
        <v>8.4153220035342186E-6</v>
      </c>
      <c r="BZ81" s="21">
        <f t="shared" si="20"/>
        <v>2.8860490675614396E-5</v>
      </c>
      <c r="CA81" s="21">
        <f t="shared" si="20"/>
        <v>1.1299625642686904E-4</v>
      </c>
      <c r="CB81" s="21">
        <f t="shared" si="20"/>
        <v>4.2202355578814765E-4</v>
      </c>
      <c r="CC81" s="21">
        <f t="shared" si="20"/>
        <v>1.5830708195857812E-3</v>
      </c>
      <c r="CD81" s="21"/>
      <c r="CE81" s="21"/>
      <c r="CF81" s="21"/>
      <c r="CG81" s="21"/>
      <c r="CH81" s="21">
        <f t="shared" si="20"/>
        <v>1.1565567686825946E-4</v>
      </c>
      <c r="CI81" s="21">
        <f t="shared" si="20"/>
        <v>2.5547342041455537E-4</v>
      </c>
      <c r="CJ81" s="21">
        <f t="shared" si="20"/>
        <v>1.6086578429765007E-4</v>
      </c>
      <c r="CK81" s="21">
        <f t="shared" si="20"/>
        <v>2.6618710530886106E-5</v>
      </c>
      <c r="CL81" s="21">
        <f t="shared" si="20"/>
        <v>7.8062125087863989E-5</v>
      </c>
    </row>
    <row r="82" spans="1:90" x14ac:dyDescent="0.45">
      <c r="A82" s="15" t="s">
        <v>80</v>
      </c>
      <c r="B82" s="15" t="s">
        <v>88</v>
      </c>
      <c r="C82" s="15">
        <v>887508.05596975295</v>
      </c>
      <c r="D82" t="s">
        <v>347</v>
      </c>
      <c r="E82" s="2">
        <f t="shared" si="11"/>
        <v>887.50805596975295</v>
      </c>
      <c r="F82" s="3">
        <f t="shared" si="13"/>
        <v>293.94266813718212</v>
      </c>
      <c r="G82">
        <f t="shared" si="12"/>
        <v>3821.2546857833677</v>
      </c>
      <c r="M82" t="s">
        <v>311</v>
      </c>
      <c r="O82" t="str">
        <f t="shared" si="14"/>
        <v>DK1-DK2</v>
      </c>
      <c r="P82">
        <f t="shared" si="15"/>
        <v>772.50092302278654</v>
      </c>
    </row>
    <row r="83" spans="1:90" x14ac:dyDescent="0.45">
      <c r="A83" s="15" t="s">
        <v>80</v>
      </c>
      <c r="B83" s="15" t="s">
        <v>89</v>
      </c>
      <c r="C83" s="15">
        <v>471303.08865133702</v>
      </c>
      <c r="D83" t="s">
        <v>348</v>
      </c>
      <c r="E83" s="2">
        <f t="shared" si="11"/>
        <v>471.30308865133702</v>
      </c>
      <c r="F83" s="3">
        <f t="shared" si="13"/>
        <v>156.0955829613228</v>
      </c>
      <c r="G83">
        <f t="shared" si="12"/>
        <v>2029.2425784971965</v>
      </c>
      <c r="M83" t="s">
        <v>312</v>
      </c>
      <c r="O83" t="str">
        <f t="shared" si="14"/>
        <v>DK1-NO2</v>
      </c>
      <c r="P83">
        <f t="shared" si="15"/>
        <v>1563.3185005409482</v>
      </c>
      <c r="AQ83" t="s">
        <v>186</v>
      </c>
      <c r="AS83" s="21">
        <f>SUM(AS80:CL80)</f>
        <v>1.7157282972653013E-2</v>
      </c>
    </row>
    <row r="84" spans="1:90" x14ac:dyDescent="0.45">
      <c r="A84" s="15" t="s">
        <v>90</v>
      </c>
      <c r="B84" s="15" t="s">
        <v>83</v>
      </c>
      <c r="C84" s="15">
        <v>513423.79753521702</v>
      </c>
      <c r="D84" t="s">
        <v>349</v>
      </c>
      <c r="E84" s="2">
        <f t="shared" si="11"/>
        <v>513.42379753521698</v>
      </c>
      <c r="F84" s="3">
        <f t="shared" si="13"/>
        <v>150.82337476394531</v>
      </c>
      <c r="G84">
        <f t="shared" si="12"/>
        <v>1960.7038719312891</v>
      </c>
      <c r="M84" t="s">
        <v>313</v>
      </c>
      <c r="O84" t="str">
        <f t="shared" si="14"/>
        <v>DK2-NO1</v>
      </c>
      <c r="P84">
        <f t="shared" si="15"/>
        <v>2651.7537753982083</v>
      </c>
      <c r="AQ84" t="s">
        <v>187</v>
      </c>
      <c r="AS84" s="21">
        <f>SUM(AS81:CL81)</f>
        <v>1.5364728877019221E-2</v>
      </c>
    </row>
    <row r="85" spans="1:90" x14ac:dyDescent="0.45">
      <c r="A85" s="15" t="s">
        <v>90</v>
      </c>
      <c r="B85" s="15" t="s">
        <v>87</v>
      </c>
      <c r="C85" s="15">
        <v>1149100.3832334599</v>
      </c>
      <c r="D85" t="s">
        <v>350</v>
      </c>
      <c r="E85" s="2">
        <f t="shared" si="11"/>
        <v>1149.10038323346</v>
      </c>
      <c r="F85" s="3">
        <f t="shared" si="13"/>
        <v>337.55972857866118</v>
      </c>
      <c r="G85">
        <f t="shared" si="12"/>
        <v>4388.2764715225949</v>
      </c>
      <c r="M85" t="s">
        <v>314</v>
      </c>
      <c r="O85" t="str">
        <f t="shared" si="14"/>
        <v>DK2-SE4</v>
      </c>
      <c r="P85">
        <f t="shared" si="15"/>
        <v>956.80365887876326</v>
      </c>
    </row>
    <row r="86" spans="1:90" x14ac:dyDescent="0.45">
      <c r="A86" s="15" t="s">
        <v>90</v>
      </c>
      <c r="B86" s="15" t="s">
        <v>81</v>
      </c>
      <c r="C86" s="15">
        <v>222223.07201755</v>
      </c>
      <c r="D86" t="s">
        <v>351</v>
      </c>
      <c r="E86" s="2">
        <f t="shared" si="11"/>
        <v>222.22307201755001</v>
      </c>
      <c r="F86" s="3">
        <f t="shared" si="13"/>
        <v>65.280249635875478</v>
      </c>
      <c r="G86">
        <f t="shared" si="12"/>
        <v>848.6432452663812</v>
      </c>
      <c r="M86" t="s">
        <v>315</v>
      </c>
      <c r="O86" t="str">
        <f t="shared" si="14"/>
        <v>NO1-NO3</v>
      </c>
      <c r="P86">
        <f t="shared" si="15"/>
        <v>989.37883890640148</v>
      </c>
    </row>
    <row r="87" spans="1:90" x14ac:dyDescent="0.45">
      <c r="A87" s="15" t="s">
        <v>90</v>
      </c>
      <c r="B87" s="15" t="s">
        <v>80</v>
      </c>
      <c r="C87" s="15">
        <v>333761.24203193898</v>
      </c>
      <c r="D87" t="s">
        <v>352</v>
      </c>
      <c r="E87" s="2">
        <f t="shared" si="11"/>
        <v>333.76124203193899</v>
      </c>
      <c r="F87" s="3">
        <f t="shared" si="13"/>
        <v>98.04570245930239</v>
      </c>
      <c r="G87">
        <f t="shared" si="12"/>
        <v>1274.5941319709311</v>
      </c>
      <c r="M87" t="s">
        <v>316</v>
      </c>
      <c r="O87" t="str">
        <f t="shared" si="14"/>
        <v>NO1-NO5</v>
      </c>
      <c r="P87">
        <f>VLOOKUP(O87,$D$64:$G$173,4,FALSE)</f>
        <v>829.89721382812309</v>
      </c>
    </row>
    <row r="88" spans="1:90" x14ac:dyDescent="0.45">
      <c r="A88" s="15" t="s">
        <v>90</v>
      </c>
      <c r="B88" s="15" t="s">
        <v>86</v>
      </c>
      <c r="C88" s="15">
        <v>699904.863635396</v>
      </c>
      <c r="D88" t="s">
        <v>353</v>
      </c>
      <c r="E88" s="2">
        <f t="shared" si="11"/>
        <v>699.90486363539605</v>
      </c>
      <c r="F88" s="3">
        <f t="shared" si="13"/>
        <v>205.60405274153393</v>
      </c>
      <c r="G88">
        <f t="shared" si="12"/>
        <v>2672.8526856399412</v>
      </c>
      <c r="M88" t="s">
        <v>317</v>
      </c>
      <c r="O88" t="str">
        <f t="shared" si="14"/>
        <v>NO2-NO1</v>
      </c>
      <c r="P88">
        <f t="shared" si="15"/>
        <v>887.81336092404422</v>
      </c>
    </row>
    <row r="89" spans="1:90" x14ac:dyDescent="0.45">
      <c r="A89" s="15" t="s">
        <v>90</v>
      </c>
      <c r="B89" s="15" t="s">
        <v>82</v>
      </c>
      <c r="C89" s="15">
        <v>536336.67452134297</v>
      </c>
      <c r="D89" t="s">
        <v>354</v>
      </c>
      <c r="E89" s="2">
        <f t="shared" si="11"/>
        <v>536.33667452134296</v>
      </c>
      <c r="F89" s="3">
        <f t="shared" si="13"/>
        <v>157.5542615073897</v>
      </c>
      <c r="G89">
        <f t="shared" si="12"/>
        <v>2048.2053995960659</v>
      </c>
      <c r="M89" t="s">
        <v>318</v>
      </c>
      <c r="O89" t="str">
        <f t="shared" si="14"/>
        <v>NO2-NO5</v>
      </c>
      <c r="P89">
        <f t="shared" si="15"/>
        <v>859.09322682355798</v>
      </c>
    </row>
    <row r="90" spans="1:90" x14ac:dyDescent="0.45">
      <c r="A90" s="15" t="s">
        <v>90</v>
      </c>
      <c r="B90" s="15" t="s">
        <v>85</v>
      </c>
      <c r="C90" s="15">
        <v>1379579.4291508601</v>
      </c>
      <c r="D90" t="s">
        <v>355</v>
      </c>
      <c r="E90" s="2">
        <f t="shared" si="11"/>
        <v>1379.5794291508601</v>
      </c>
      <c r="F90" s="3">
        <f t="shared" si="13"/>
        <v>405.26525310735661</v>
      </c>
      <c r="G90">
        <f t="shared" si="12"/>
        <v>5268.4482903956359</v>
      </c>
      <c r="M90" t="s">
        <v>319</v>
      </c>
      <c r="O90" t="str">
        <f t="shared" si="14"/>
        <v>NO3-NO4</v>
      </c>
      <c r="P90">
        <f t="shared" si="15"/>
        <v>2994.1023823421115</v>
      </c>
    </row>
    <row r="91" spans="1:90" x14ac:dyDescent="0.45">
      <c r="A91" s="15" t="s">
        <v>90</v>
      </c>
      <c r="B91" s="15" t="s">
        <v>84</v>
      </c>
      <c r="C91" s="15">
        <v>776503.83159743005</v>
      </c>
      <c r="D91" t="s">
        <v>356</v>
      </c>
      <c r="E91" s="2">
        <f t="shared" si="11"/>
        <v>776.50383159743001</v>
      </c>
      <c r="F91" s="3">
        <f t="shared" si="13"/>
        <v>228.10576557006101</v>
      </c>
      <c r="G91">
        <f t="shared" si="12"/>
        <v>2965.374952410793</v>
      </c>
      <c r="M91" t="s">
        <v>320</v>
      </c>
      <c r="O91" t="str">
        <f t="shared" si="14"/>
        <v>NO5-NO3</v>
      </c>
      <c r="P91">
        <f t="shared" si="15"/>
        <v>1114.979611468164</v>
      </c>
    </row>
    <row r="92" spans="1:90" x14ac:dyDescent="0.45">
      <c r="A92" s="15" t="s">
        <v>90</v>
      </c>
      <c r="B92" s="15" t="s">
        <v>88</v>
      </c>
      <c r="C92" s="15">
        <v>761059.50916931697</v>
      </c>
      <c r="D92" t="s">
        <v>357</v>
      </c>
      <c r="E92" s="2">
        <f t="shared" si="11"/>
        <v>761.05950916931693</v>
      </c>
      <c r="F92" s="3">
        <f t="shared" si="13"/>
        <v>223.56884141357853</v>
      </c>
      <c r="G92">
        <f t="shared" si="12"/>
        <v>2906.3949383765207</v>
      </c>
      <c r="M92" t="s">
        <v>321</v>
      </c>
      <c r="O92" t="str">
        <f t="shared" si="14"/>
        <v>SE1-NO4</v>
      </c>
      <c r="P92">
        <f t="shared" si="15"/>
        <v>888.6497785217141</v>
      </c>
    </row>
    <row r="93" spans="1:90" x14ac:dyDescent="0.45">
      <c r="A93" s="15" t="s">
        <v>90</v>
      </c>
      <c r="B93" s="15" t="s">
        <v>89</v>
      </c>
      <c r="C93" s="15">
        <v>300172.72255652503</v>
      </c>
      <c r="D93" t="s">
        <v>358</v>
      </c>
      <c r="E93" s="2">
        <f t="shared" si="11"/>
        <v>300.172722556525</v>
      </c>
      <c r="F93" s="3">
        <f t="shared" si="13"/>
        <v>88.178738978204777</v>
      </c>
      <c r="G93">
        <f t="shared" si="12"/>
        <v>1146.3236067166622</v>
      </c>
      <c r="M93" t="s">
        <v>322</v>
      </c>
      <c r="O93" t="str">
        <f t="shared" si="14"/>
        <v>SE2-NO3</v>
      </c>
      <c r="P93">
        <f t="shared" si="15"/>
        <v>1124.0136257615575</v>
      </c>
    </row>
    <row r="94" spans="1:90" x14ac:dyDescent="0.45">
      <c r="A94" s="15" t="s">
        <v>89</v>
      </c>
      <c r="B94" s="15" t="s">
        <v>83</v>
      </c>
      <c r="C94" s="15">
        <v>400035.23239481403</v>
      </c>
      <c r="D94" t="s">
        <v>359</v>
      </c>
      <c r="E94" s="2">
        <f t="shared" si="11"/>
        <v>400.03523239481405</v>
      </c>
      <c r="F94" s="3">
        <f t="shared" si="13"/>
        <v>117.51434986830056</v>
      </c>
      <c r="G94">
        <f t="shared" si="12"/>
        <v>1527.6865482879073</v>
      </c>
      <c r="M94" t="s">
        <v>323</v>
      </c>
      <c r="O94" t="str">
        <f t="shared" si="14"/>
        <v>SE2-SE1</v>
      </c>
      <c r="P94">
        <f t="shared" si="15"/>
        <v>1553.3553725003219</v>
      </c>
    </row>
    <row r="95" spans="1:90" x14ac:dyDescent="0.45">
      <c r="A95" s="15" t="s">
        <v>89</v>
      </c>
      <c r="B95" s="15" t="s">
        <v>87</v>
      </c>
      <c r="C95" s="15">
        <v>858700.05545037705</v>
      </c>
      <c r="D95" t="s">
        <v>360</v>
      </c>
      <c r="E95" s="2">
        <f t="shared" si="11"/>
        <v>858.70005545037702</v>
      </c>
      <c r="F95" s="3">
        <f t="shared" si="13"/>
        <v>252.25172828910272</v>
      </c>
      <c r="G95">
        <f t="shared" si="12"/>
        <v>3279.2724677583351</v>
      </c>
      <c r="M95" t="s">
        <v>324</v>
      </c>
      <c r="O95" t="str">
        <f t="shared" si="14"/>
        <v>SE3-NO1</v>
      </c>
      <c r="P95">
        <f t="shared" si="15"/>
        <v>1128.6584864253336</v>
      </c>
    </row>
    <row r="96" spans="1:90" x14ac:dyDescent="0.45">
      <c r="A96" s="15" t="s">
        <v>89</v>
      </c>
      <c r="B96" s="15" t="s">
        <v>81</v>
      </c>
      <c r="C96" s="15">
        <v>466462.25705574098</v>
      </c>
      <c r="D96" t="s">
        <v>361</v>
      </c>
      <c r="E96" s="2">
        <f t="shared" ref="E96:E127" si="21">C96/1000</f>
        <v>466.46225705574096</v>
      </c>
      <c r="F96" s="3">
        <f t="shared" ref="F96:F127" si="22">IF(LEFT(A96,2)="DK",$D$46*E96,$D$47*E96)</f>
        <v>137.02795263269445</v>
      </c>
      <c r="G96">
        <f t="shared" si="12"/>
        <v>1781.3633842250279</v>
      </c>
      <c r="M96" t="s">
        <v>325</v>
      </c>
      <c r="O96" t="str">
        <f t="shared" si="14"/>
        <v>SE3-SE2</v>
      </c>
      <c r="P96">
        <f t="shared" si="15"/>
        <v>1767.6560503655064</v>
      </c>
    </row>
    <row r="97" spans="1:16" x14ac:dyDescent="0.45">
      <c r="A97" s="15" t="s">
        <v>89</v>
      </c>
      <c r="B97" s="15" t="s">
        <v>90</v>
      </c>
      <c r="C97" s="15">
        <v>300172.72255652503</v>
      </c>
      <c r="D97" t="s">
        <v>362</v>
      </c>
      <c r="E97" s="2">
        <f t="shared" si="21"/>
        <v>300.172722556525</v>
      </c>
      <c r="F97" s="3">
        <f t="shared" si="22"/>
        <v>88.178738978204777</v>
      </c>
      <c r="G97">
        <f t="shared" si="12"/>
        <v>1146.3236067166622</v>
      </c>
      <c r="M97" t="s">
        <v>326</v>
      </c>
      <c r="O97" t="str">
        <f t="shared" si="14"/>
        <v>SE4-SE3</v>
      </c>
      <c r="P97">
        <f t="shared" si="15"/>
        <v>1146.3236067166622</v>
      </c>
    </row>
    <row r="98" spans="1:16" x14ac:dyDescent="0.45">
      <c r="A98" s="15" t="s">
        <v>89</v>
      </c>
      <c r="B98" s="15" t="s">
        <v>80</v>
      </c>
      <c r="C98" s="15">
        <v>471303.08865133702</v>
      </c>
      <c r="D98" t="s">
        <v>363</v>
      </c>
      <c r="E98" s="2">
        <f t="shared" si="21"/>
        <v>471.30308865133702</v>
      </c>
      <c r="F98" s="3">
        <f t="shared" si="22"/>
        <v>138.44999532221675</v>
      </c>
      <c r="G98">
        <f t="shared" si="12"/>
        <v>1799.8499391888176</v>
      </c>
    </row>
    <row r="99" spans="1:16" x14ac:dyDescent="0.45">
      <c r="A99" s="15" t="s">
        <v>89</v>
      </c>
      <c r="B99" s="15" t="s">
        <v>86</v>
      </c>
      <c r="C99" s="15">
        <v>503423.97296481702</v>
      </c>
      <c r="D99" t="s">
        <v>364</v>
      </c>
      <c r="E99" s="2">
        <f t="shared" si="21"/>
        <v>503.42397296481704</v>
      </c>
      <c r="F99" s="3">
        <f t="shared" si="22"/>
        <v>147.88582629814465</v>
      </c>
      <c r="G99">
        <f t="shared" si="12"/>
        <v>1922.5157418758804</v>
      </c>
    </row>
    <row r="100" spans="1:16" x14ac:dyDescent="0.45">
      <c r="A100" s="15" t="s">
        <v>89</v>
      </c>
      <c r="B100" s="15" t="s">
        <v>82</v>
      </c>
      <c r="C100" s="15">
        <v>295546.98928097601</v>
      </c>
      <c r="D100" t="s">
        <v>365</v>
      </c>
      <c r="E100" s="2">
        <f t="shared" si="21"/>
        <v>295.54698928097599</v>
      </c>
      <c r="F100" s="3">
        <f t="shared" si="22"/>
        <v>86.819883571179503</v>
      </c>
      <c r="G100">
        <f t="shared" si="12"/>
        <v>1128.6584864253336</v>
      </c>
    </row>
    <row r="101" spans="1:16" x14ac:dyDescent="0.45">
      <c r="A101" s="15" t="s">
        <v>89</v>
      </c>
      <c r="B101" s="15" t="s">
        <v>85</v>
      </c>
      <c r="C101" s="15">
        <v>1086634.6605829699</v>
      </c>
      <c r="D101" t="s">
        <v>366</v>
      </c>
      <c r="E101" s="2">
        <f t="shared" si="21"/>
        <v>1086.6346605829699</v>
      </c>
      <c r="F101" s="3">
        <f t="shared" si="22"/>
        <v>319.2097978928532</v>
      </c>
      <c r="G101">
        <f t="shared" si="12"/>
        <v>4149.7273726070916</v>
      </c>
    </row>
    <row r="102" spans="1:16" x14ac:dyDescent="0.45">
      <c r="A102" s="15" t="s">
        <v>89</v>
      </c>
      <c r="B102" s="15" t="s">
        <v>84</v>
      </c>
      <c r="C102" s="15">
        <v>497103.68941215298</v>
      </c>
      <c r="D102" t="s">
        <v>367</v>
      </c>
      <c r="E102" s="2">
        <f t="shared" si="21"/>
        <v>497.10368941215296</v>
      </c>
      <c r="F102" s="3">
        <f t="shared" si="22"/>
        <v>146.02917980171404</v>
      </c>
      <c r="G102">
        <f t="shared" si="12"/>
        <v>1898.3793374222826</v>
      </c>
    </row>
    <row r="103" spans="1:16" x14ac:dyDescent="0.45">
      <c r="A103" s="15" t="s">
        <v>89</v>
      </c>
      <c r="B103" s="15" t="s">
        <v>88</v>
      </c>
      <c r="C103" s="15">
        <v>462872.897384968</v>
      </c>
      <c r="D103" t="s">
        <v>368</v>
      </c>
      <c r="E103" s="2">
        <f t="shared" si="21"/>
        <v>462.87289738496798</v>
      </c>
      <c r="F103" s="3">
        <f t="shared" si="22"/>
        <v>135.97354233580819</v>
      </c>
      <c r="G103">
        <f t="shared" si="12"/>
        <v>1767.6560503655064</v>
      </c>
    </row>
    <row r="104" spans="1:16" x14ac:dyDescent="0.45">
      <c r="A104" s="15" t="s">
        <v>88</v>
      </c>
      <c r="B104" s="15" t="s">
        <v>83</v>
      </c>
      <c r="C104" s="15">
        <v>638489.51572877099</v>
      </c>
      <c r="D104" t="s">
        <v>369</v>
      </c>
      <c r="E104" s="2">
        <f t="shared" si="21"/>
        <v>638.48951572877104</v>
      </c>
      <c r="F104" s="3">
        <f t="shared" si="22"/>
        <v>187.56268014048376</v>
      </c>
      <c r="G104">
        <f t="shared" si="12"/>
        <v>2438.314841826289</v>
      </c>
    </row>
    <row r="105" spans="1:16" x14ac:dyDescent="0.45">
      <c r="A105" s="15" t="s">
        <v>88</v>
      </c>
      <c r="B105" s="15" t="s">
        <v>87</v>
      </c>
      <c r="C105" s="15">
        <v>406756.79060361203</v>
      </c>
      <c r="D105" t="s">
        <v>370</v>
      </c>
      <c r="E105" s="2">
        <f t="shared" si="21"/>
        <v>406.75679060361205</v>
      </c>
      <c r="F105" s="3">
        <f t="shared" si="22"/>
        <v>119.48887480771707</v>
      </c>
      <c r="G105">
        <f t="shared" si="12"/>
        <v>1553.3553725003219</v>
      </c>
    </row>
    <row r="106" spans="1:16" x14ac:dyDescent="0.45">
      <c r="A106" s="15" t="s">
        <v>88</v>
      </c>
      <c r="B106" s="15" t="s">
        <v>81</v>
      </c>
      <c r="C106" s="15">
        <v>922122.90813419595</v>
      </c>
      <c r="D106" t="s">
        <v>371</v>
      </c>
      <c r="E106" s="2">
        <f t="shared" si="21"/>
        <v>922.122908134196</v>
      </c>
      <c r="F106" s="3">
        <f t="shared" si="22"/>
        <v>270.8828254935014</v>
      </c>
      <c r="G106">
        <f t="shared" si="12"/>
        <v>3521.4767314155183</v>
      </c>
    </row>
    <row r="107" spans="1:16" x14ac:dyDescent="0.45">
      <c r="A107" s="15" t="s">
        <v>88</v>
      </c>
      <c r="B107" s="15" t="s">
        <v>90</v>
      </c>
      <c r="C107" s="15">
        <v>761059.50916931697</v>
      </c>
      <c r="D107" t="s">
        <v>372</v>
      </c>
      <c r="E107" s="2">
        <f t="shared" si="21"/>
        <v>761.05950916931693</v>
      </c>
      <c r="F107" s="3">
        <f t="shared" si="22"/>
        <v>223.56884141357853</v>
      </c>
      <c r="G107">
        <f t="shared" si="12"/>
        <v>2906.3949383765207</v>
      </c>
    </row>
    <row r="108" spans="1:16" x14ac:dyDescent="0.45">
      <c r="A108" s="15" t="s">
        <v>88</v>
      </c>
      <c r="B108" s="15" t="s">
        <v>80</v>
      </c>
      <c r="C108" s="15">
        <v>887508.05596975295</v>
      </c>
      <c r="D108" t="s">
        <v>373</v>
      </c>
      <c r="E108" s="2">
        <f t="shared" si="21"/>
        <v>887.50805596975295</v>
      </c>
      <c r="F108" s="3">
        <f t="shared" si="22"/>
        <v>260.71436652167461</v>
      </c>
      <c r="G108">
        <f t="shared" si="12"/>
        <v>3389.2867647817698</v>
      </c>
    </row>
    <row r="109" spans="1:16" x14ac:dyDescent="0.45">
      <c r="A109" s="15" t="s">
        <v>88</v>
      </c>
      <c r="B109" s="15" t="s">
        <v>86</v>
      </c>
      <c r="C109" s="15">
        <v>551242.44877605501</v>
      </c>
      <c r="D109" t="s">
        <v>374</v>
      </c>
      <c r="E109" s="2">
        <f t="shared" si="21"/>
        <v>551.24244877605497</v>
      </c>
      <c r="F109" s="3">
        <f t="shared" si="22"/>
        <v>161.93298175245388</v>
      </c>
      <c r="G109">
        <f t="shared" si="12"/>
        <v>2105.1287627819006</v>
      </c>
    </row>
    <row r="110" spans="1:16" x14ac:dyDescent="0.45">
      <c r="A110" s="15" t="s">
        <v>88</v>
      </c>
      <c r="B110" s="15" t="s">
        <v>82</v>
      </c>
      <c r="C110" s="15">
        <v>406045.57940674399</v>
      </c>
      <c r="D110" t="s">
        <v>375</v>
      </c>
      <c r="E110" s="2">
        <f t="shared" si="21"/>
        <v>406.04557940674397</v>
      </c>
      <c r="F110" s="3">
        <f t="shared" si="22"/>
        <v>119.27994940652509</v>
      </c>
      <c r="G110">
        <f t="shared" si="12"/>
        <v>1550.6393422848262</v>
      </c>
    </row>
    <row r="111" spans="1:16" x14ac:dyDescent="0.45">
      <c r="A111" s="15" t="s">
        <v>88</v>
      </c>
      <c r="B111" s="15" t="s">
        <v>85</v>
      </c>
      <c r="C111" s="15">
        <v>627780.67004774802</v>
      </c>
      <c r="D111" t="s">
        <v>376</v>
      </c>
      <c r="E111" s="2">
        <f t="shared" si="21"/>
        <v>627.780670047748</v>
      </c>
      <c r="F111" s="3">
        <f t="shared" si="22"/>
        <v>184.41684963322643</v>
      </c>
      <c r="G111">
        <f t="shared" si="12"/>
        <v>2397.4190452319435</v>
      </c>
    </row>
    <row r="112" spans="1:16" x14ac:dyDescent="0.45">
      <c r="A112" s="15" t="s">
        <v>88</v>
      </c>
      <c r="B112" s="15" t="s">
        <v>84</v>
      </c>
      <c r="C112" s="15">
        <v>294330.70056182903</v>
      </c>
      <c r="D112" t="s">
        <v>377</v>
      </c>
      <c r="E112" s="2">
        <f t="shared" si="21"/>
        <v>294.33070056182902</v>
      </c>
      <c r="F112" s="3">
        <f t="shared" si="22"/>
        <v>86.462586597042886</v>
      </c>
      <c r="G112">
        <f t="shared" si="12"/>
        <v>1124.0136257615575</v>
      </c>
    </row>
    <row r="113" spans="1:7" x14ac:dyDescent="0.45">
      <c r="A113" s="15" t="s">
        <v>88</v>
      </c>
      <c r="B113" s="15" t="s">
        <v>89</v>
      </c>
      <c r="C113" s="15">
        <v>462872.897384968</v>
      </c>
      <c r="D113" t="s">
        <v>378</v>
      </c>
      <c r="E113" s="2">
        <f t="shared" si="21"/>
        <v>462.87289738496798</v>
      </c>
      <c r="F113" s="3">
        <f t="shared" si="22"/>
        <v>135.97354233580819</v>
      </c>
      <c r="G113">
        <f t="shared" si="12"/>
        <v>1767.6560503655064</v>
      </c>
    </row>
    <row r="114" spans="1:7" x14ac:dyDescent="0.45">
      <c r="A114" s="15" t="s">
        <v>87</v>
      </c>
      <c r="B114" s="15" t="s">
        <v>83</v>
      </c>
      <c r="C114" s="15">
        <v>1029452.02482077</v>
      </c>
      <c r="D114" t="s">
        <v>379</v>
      </c>
      <c r="E114" s="2">
        <f t="shared" si="21"/>
        <v>1029.45202482077</v>
      </c>
      <c r="F114" s="3">
        <f t="shared" si="22"/>
        <v>302.41182681134939</v>
      </c>
      <c r="G114">
        <f t="shared" si="12"/>
        <v>3931.3537485475422</v>
      </c>
    </row>
    <row r="115" spans="1:7" x14ac:dyDescent="0.45">
      <c r="A115" s="15" t="s">
        <v>87</v>
      </c>
      <c r="B115" s="15" t="s">
        <v>81</v>
      </c>
      <c r="C115" s="15">
        <v>1323641.0023793699</v>
      </c>
      <c r="D115" t="s">
        <v>380</v>
      </c>
      <c r="E115" s="2">
        <f t="shared" si="21"/>
        <v>1323.6410023793699</v>
      </c>
      <c r="F115" s="3">
        <f t="shared" si="22"/>
        <v>388.83278085896364</v>
      </c>
      <c r="G115">
        <f t="shared" si="12"/>
        <v>5054.8261511665278</v>
      </c>
    </row>
    <row r="116" spans="1:7" x14ac:dyDescent="0.45">
      <c r="A116" s="15" t="s">
        <v>87</v>
      </c>
      <c r="B116" s="15" t="s">
        <v>90</v>
      </c>
      <c r="C116" s="15">
        <v>1149100.3832334599</v>
      </c>
      <c r="D116" t="s">
        <v>381</v>
      </c>
      <c r="E116" s="2">
        <f t="shared" si="21"/>
        <v>1149.10038323346</v>
      </c>
      <c r="F116" s="3">
        <f t="shared" si="22"/>
        <v>337.55972857866118</v>
      </c>
      <c r="G116">
        <f t="shared" si="12"/>
        <v>4388.2764715225949</v>
      </c>
    </row>
    <row r="117" spans="1:7" x14ac:dyDescent="0.45">
      <c r="A117" s="15" t="s">
        <v>87</v>
      </c>
      <c r="B117" s="15" t="s">
        <v>80</v>
      </c>
      <c r="C117" s="15">
        <v>1294263.52159159</v>
      </c>
      <c r="D117" t="s">
        <v>382</v>
      </c>
      <c r="E117" s="2">
        <f t="shared" si="21"/>
        <v>1294.26352159159</v>
      </c>
      <c r="F117" s="3">
        <f t="shared" si="22"/>
        <v>380.20285210274545</v>
      </c>
      <c r="G117">
        <f t="shared" si="12"/>
        <v>4942.6370773356912</v>
      </c>
    </row>
    <row r="118" spans="1:7" x14ac:dyDescent="0.45">
      <c r="A118" s="15" t="s">
        <v>87</v>
      </c>
      <c r="B118" s="15" t="s">
        <v>86</v>
      </c>
      <c r="C118" s="15">
        <v>899807.64568718604</v>
      </c>
      <c r="D118" t="s">
        <v>383</v>
      </c>
      <c r="E118" s="2">
        <f t="shared" si="21"/>
        <v>899.8076456871861</v>
      </c>
      <c r="F118" s="3">
        <f t="shared" si="22"/>
        <v>264.32749399706773</v>
      </c>
      <c r="G118">
        <f t="shared" si="12"/>
        <v>3436.2574219618805</v>
      </c>
    </row>
    <row r="119" spans="1:7" x14ac:dyDescent="0.45">
      <c r="A119" s="15" t="s">
        <v>87</v>
      </c>
      <c r="B119" s="15" t="s">
        <v>82</v>
      </c>
      <c r="C119" s="15">
        <v>799302.20528475405</v>
      </c>
      <c r="D119" t="s">
        <v>384</v>
      </c>
      <c r="E119" s="2">
        <f t="shared" si="21"/>
        <v>799.302205284754</v>
      </c>
      <c r="F119" s="3">
        <f t="shared" si="22"/>
        <v>234.80301582444932</v>
      </c>
      <c r="G119">
        <f t="shared" si="12"/>
        <v>3052.4392057178411</v>
      </c>
    </row>
    <row r="120" spans="1:7" x14ac:dyDescent="0.45">
      <c r="A120" s="15" t="s">
        <v>87</v>
      </c>
      <c r="B120" s="15" t="s">
        <v>85</v>
      </c>
      <c r="C120" s="15">
        <v>232699.057975562</v>
      </c>
      <c r="D120" t="s">
        <v>385</v>
      </c>
      <c r="E120" s="2">
        <f t="shared" si="21"/>
        <v>232.699057975562</v>
      </c>
      <c r="F120" s="3">
        <f t="shared" si="22"/>
        <v>68.357675270901083</v>
      </c>
      <c r="G120">
        <f t="shared" si="12"/>
        <v>888.6497785217141</v>
      </c>
    </row>
    <row r="121" spans="1:7" x14ac:dyDescent="0.45">
      <c r="A121" s="15" t="s">
        <v>87</v>
      </c>
      <c r="B121" s="15" t="s">
        <v>84</v>
      </c>
      <c r="C121" s="15">
        <v>608377.99139154598</v>
      </c>
      <c r="D121" t="s">
        <v>386</v>
      </c>
      <c r="E121" s="2">
        <f t="shared" si="21"/>
        <v>608.37799139154595</v>
      </c>
      <c r="F121" s="3">
        <f t="shared" si="22"/>
        <v>178.71711875118052</v>
      </c>
      <c r="G121">
        <f t="shared" si="12"/>
        <v>2323.3225437653468</v>
      </c>
    </row>
    <row r="122" spans="1:7" x14ac:dyDescent="0.45">
      <c r="A122" s="15" t="s">
        <v>87</v>
      </c>
      <c r="B122" s="15" t="s">
        <v>88</v>
      </c>
      <c r="C122" s="15">
        <v>406756.79060361203</v>
      </c>
      <c r="D122" t="s">
        <v>387</v>
      </c>
      <c r="E122" s="2">
        <f t="shared" si="21"/>
        <v>406.75679060361205</v>
      </c>
      <c r="F122" s="3">
        <f t="shared" si="22"/>
        <v>119.48887480771707</v>
      </c>
      <c r="G122">
        <f t="shared" si="12"/>
        <v>1553.3553725003219</v>
      </c>
    </row>
    <row r="123" spans="1:7" x14ac:dyDescent="0.45">
      <c r="A123" s="15" t="s">
        <v>87</v>
      </c>
      <c r="B123" s="15" t="s">
        <v>89</v>
      </c>
      <c r="C123" s="15">
        <v>858700.05545037705</v>
      </c>
      <c r="D123" t="s">
        <v>388</v>
      </c>
      <c r="E123" s="2">
        <f t="shared" si="21"/>
        <v>858.70005545037702</v>
      </c>
      <c r="F123" s="3">
        <f t="shared" si="22"/>
        <v>252.25172828910272</v>
      </c>
      <c r="G123">
        <f t="shared" si="12"/>
        <v>3279.2724677583351</v>
      </c>
    </row>
    <row r="124" spans="1:7" x14ac:dyDescent="0.45">
      <c r="A124" s="15" t="s">
        <v>83</v>
      </c>
      <c r="B124" s="15" t="s">
        <v>87</v>
      </c>
      <c r="C124" s="15">
        <v>1029452.02482077</v>
      </c>
      <c r="D124" t="s">
        <v>389</v>
      </c>
      <c r="E124" s="2">
        <f t="shared" si="21"/>
        <v>1029.45202482077</v>
      </c>
      <c r="F124" s="3">
        <f t="shared" si="22"/>
        <v>302.41182681134939</v>
      </c>
      <c r="G124">
        <f t="shared" si="12"/>
        <v>3931.3537485475422</v>
      </c>
    </row>
    <row r="125" spans="1:7" x14ac:dyDescent="0.45">
      <c r="A125" s="15" t="s">
        <v>83</v>
      </c>
      <c r="B125" s="15" t="s">
        <v>81</v>
      </c>
      <c r="C125" s="15">
        <v>502842.73384464101</v>
      </c>
      <c r="D125" t="s">
        <v>390</v>
      </c>
      <c r="E125" s="2">
        <f t="shared" si="21"/>
        <v>502.84273384464103</v>
      </c>
      <c r="F125" s="3">
        <f t="shared" si="22"/>
        <v>147.71508149420174</v>
      </c>
      <c r="G125">
        <f t="shared" si="12"/>
        <v>1920.2960594246226</v>
      </c>
    </row>
    <row r="126" spans="1:7" x14ac:dyDescent="0.45">
      <c r="A126" s="15" t="s">
        <v>83</v>
      </c>
      <c r="B126" s="15" t="s">
        <v>90</v>
      </c>
      <c r="C126" s="15">
        <v>513423.79753521702</v>
      </c>
      <c r="D126" t="s">
        <v>391</v>
      </c>
      <c r="E126" s="2">
        <f t="shared" si="21"/>
        <v>513.42379753521698</v>
      </c>
      <c r="F126" s="3">
        <f t="shared" si="22"/>
        <v>150.82337476394531</v>
      </c>
      <c r="G126">
        <f t="shared" si="12"/>
        <v>1960.7038719312891</v>
      </c>
    </row>
    <row r="127" spans="1:7" x14ac:dyDescent="0.45">
      <c r="A127" s="15" t="s">
        <v>83</v>
      </c>
      <c r="B127" s="15" t="s">
        <v>80</v>
      </c>
      <c r="C127" s="15">
        <v>363089.58113641501</v>
      </c>
      <c r="D127" t="s">
        <v>392</v>
      </c>
      <c r="E127" s="2">
        <f t="shared" si="21"/>
        <v>363.08958113641501</v>
      </c>
      <c r="F127" s="3">
        <f t="shared" si="22"/>
        <v>106.66119535463326</v>
      </c>
      <c r="G127">
        <f t="shared" si="12"/>
        <v>1386.5955396102324</v>
      </c>
    </row>
    <row r="128" spans="1:7" x14ac:dyDescent="0.45">
      <c r="A128" s="15" t="s">
        <v>83</v>
      </c>
      <c r="B128" s="15" t="s">
        <v>86</v>
      </c>
      <c r="C128" s="15">
        <v>224959.47157898601</v>
      </c>
      <c r="D128" t="s">
        <v>393</v>
      </c>
      <c r="E128" s="2">
        <f t="shared" ref="E128:E159" si="23">C128/1000</f>
        <v>224.95947157898601</v>
      </c>
      <c r="F128" s="3">
        <f t="shared" ref="F128:F159" si="24">IF(LEFT(A128,2)="DK",$D$46*E128,$D$47*E128)</f>
        <v>66.084094371042923</v>
      </c>
      <c r="G128">
        <f t="shared" si="12"/>
        <v>859.09322682355798</v>
      </c>
    </row>
    <row r="129" spans="1:7" x14ac:dyDescent="0.45">
      <c r="A129" s="15" t="s">
        <v>83</v>
      </c>
      <c r="B129" s="15" t="s">
        <v>82</v>
      </c>
      <c r="C129" s="15">
        <v>232480.03627347399</v>
      </c>
      <c r="D129" t="s">
        <v>394</v>
      </c>
      <c r="E129" s="2">
        <f t="shared" si="23"/>
        <v>232.48003627347398</v>
      </c>
      <c r="F129" s="3">
        <f t="shared" si="24"/>
        <v>68.293335455695711</v>
      </c>
      <c r="G129">
        <f t="shared" ref="G129:G173" si="25">F129*13</f>
        <v>887.81336092404422</v>
      </c>
    </row>
    <row r="130" spans="1:7" x14ac:dyDescent="0.45">
      <c r="A130" s="15" t="s">
        <v>83</v>
      </c>
      <c r="B130" s="15" t="s">
        <v>85</v>
      </c>
      <c r="C130" s="15">
        <v>1226621.3806062799</v>
      </c>
      <c r="D130" t="s">
        <v>395</v>
      </c>
      <c r="E130" s="2">
        <f t="shared" si="23"/>
        <v>1226.6213806062799</v>
      </c>
      <c r="F130" s="3">
        <f t="shared" si="24"/>
        <v>360.33229676690075</v>
      </c>
      <c r="G130">
        <f t="shared" si="25"/>
        <v>4684.31985796971</v>
      </c>
    </row>
    <row r="131" spans="1:7" x14ac:dyDescent="0.45">
      <c r="A131" s="15" t="s">
        <v>83</v>
      </c>
      <c r="B131" s="15" t="s">
        <v>84</v>
      </c>
      <c r="C131" s="15">
        <v>454154.24104906601</v>
      </c>
      <c r="D131" t="s">
        <v>396</v>
      </c>
      <c r="E131" s="2">
        <f t="shared" si="23"/>
        <v>454.154241049066</v>
      </c>
      <c r="F131" s="3">
        <f t="shared" si="24"/>
        <v>133.41234985057361</v>
      </c>
      <c r="G131">
        <f t="shared" si="25"/>
        <v>1734.360548057457</v>
      </c>
    </row>
    <row r="132" spans="1:7" x14ac:dyDescent="0.45">
      <c r="A132" s="15" t="s">
        <v>83</v>
      </c>
      <c r="B132" s="15" t="s">
        <v>88</v>
      </c>
      <c r="C132" s="15">
        <v>638489.51572877099</v>
      </c>
      <c r="D132" t="s">
        <v>397</v>
      </c>
      <c r="E132" s="2">
        <f t="shared" si="23"/>
        <v>638.48951572877104</v>
      </c>
      <c r="F132" s="3">
        <f t="shared" si="24"/>
        <v>187.56268014048376</v>
      </c>
      <c r="G132">
        <f t="shared" si="25"/>
        <v>2438.314841826289</v>
      </c>
    </row>
    <row r="133" spans="1:7" x14ac:dyDescent="0.45">
      <c r="A133" s="15" t="s">
        <v>83</v>
      </c>
      <c r="B133" s="15" t="s">
        <v>89</v>
      </c>
      <c r="C133" s="15">
        <v>400035.23239481403</v>
      </c>
      <c r="D133" t="s">
        <v>398</v>
      </c>
      <c r="E133" s="2">
        <f t="shared" si="23"/>
        <v>400.03523239481405</v>
      </c>
      <c r="F133" s="3">
        <f t="shared" si="24"/>
        <v>117.51434986830056</v>
      </c>
      <c r="G133">
        <f t="shared" si="25"/>
        <v>1527.6865482879073</v>
      </c>
    </row>
    <row r="134" spans="1:7" x14ac:dyDescent="0.45">
      <c r="A134" s="15" t="s">
        <v>82</v>
      </c>
      <c r="B134" s="15" t="s">
        <v>83</v>
      </c>
      <c r="C134" s="15">
        <v>232480.03627347399</v>
      </c>
      <c r="D134" t="s">
        <v>399</v>
      </c>
      <c r="E134" s="2">
        <f t="shared" si="23"/>
        <v>232.48003627347398</v>
      </c>
      <c r="F134" s="3">
        <f t="shared" si="24"/>
        <v>68.293335455695711</v>
      </c>
      <c r="G134">
        <f t="shared" si="25"/>
        <v>887.81336092404422</v>
      </c>
    </row>
    <row r="135" spans="1:7" x14ac:dyDescent="0.45">
      <c r="A135" s="15" t="s">
        <v>82</v>
      </c>
      <c r="B135" s="15" t="s">
        <v>87</v>
      </c>
      <c r="C135" s="15">
        <v>799302.20528475405</v>
      </c>
      <c r="D135" t="s">
        <v>400</v>
      </c>
      <c r="E135" s="2">
        <f t="shared" si="23"/>
        <v>799.302205284754</v>
      </c>
      <c r="F135" s="3">
        <f t="shared" si="24"/>
        <v>234.80301582444932</v>
      </c>
      <c r="G135">
        <f t="shared" si="25"/>
        <v>3052.4392057178411</v>
      </c>
    </row>
    <row r="136" spans="1:7" x14ac:dyDescent="0.45">
      <c r="A136" s="15" t="s">
        <v>82</v>
      </c>
      <c r="B136" s="15" t="s">
        <v>81</v>
      </c>
      <c r="C136" s="15">
        <v>615884.84192637703</v>
      </c>
      <c r="D136" t="s">
        <v>401</v>
      </c>
      <c r="E136" s="2">
        <f t="shared" si="23"/>
        <v>615.88484192637702</v>
      </c>
      <c r="F136" s="3">
        <f t="shared" si="24"/>
        <v>180.9223311642925</v>
      </c>
      <c r="G136">
        <f t="shared" si="25"/>
        <v>2351.9903051358024</v>
      </c>
    </row>
    <row r="137" spans="1:7" x14ac:dyDescent="0.45">
      <c r="A137" s="15" t="s">
        <v>82</v>
      </c>
      <c r="B137" s="15" t="s">
        <v>90</v>
      </c>
      <c r="C137" s="15">
        <v>536336.67452134297</v>
      </c>
      <c r="D137" t="s">
        <v>402</v>
      </c>
      <c r="E137" s="2">
        <f t="shared" si="23"/>
        <v>536.33667452134296</v>
      </c>
      <c r="F137" s="3">
        <f t="shared" si="24"/>
        <v>157.5542615073897</v>
      </c>
      <c r="G137">
        <f t="shared" si="25"/>
        <v>2048.2053995960659</v>
      </c>
    </row>
    <row r="138" spans="1:7" x14ac:dyDescent="0.45">
      <c r="A138" s="15" t="s">
        <v>82</v>
      </c>
      <c r="B138" s="15" t="s">
        <v>80</v>
      </c>
      <c r="C138" s="15">
        <v>527550.74433005496</v>
      </c>
      <c r="D138" t="s">
        <v>403</v>
      </c>
      <c r="E138" s="2">
        <f t="shared" si="23"/>
        <v>527.55074433005495</v>
      </c>
      <c r="F138" s="3">
        <f t="shared" si="24"/>
        <v>154.97330665439694</v>
      </c>
      <c r="G138">
        <f t="shared" si="25"/>
        <v>2014.6529865071602</v>
      </c>
    </row>
    <row r="139" spans="1:7" x14ac:dyDescent="0.45">
      <c r="A139" s="15" t="s">
        <v>82</v>
      </c>
      <c r="B139" s="15" t="s">
        <v>86</v>
      </c>
      <c r="C139" s="15">
        <v>217314.29472204499</v>
      </c>
      <c r="D139" t="s">
        <v>404</v>
      </c>
      <c r="E139" s="2">
        <f t="shared" si="23"/>
        <v>217.31429472204499</v>
      </c>
      <c r="F139" s="3">
        <f t="shared" si="24"/>
        <v>63.838247217547931</v>
      </c>
      <c r="G139">
        <f t="shared" si="25"/>
        <v>829.89721382812309</v>
      </c>
    </row>
    <row r="140" spans="1:7" x14ac:dyDescent="0.45">
      <c r="A140" s="15" t="s">
        <v>82</v>
      </c>
      <c r="B140" s="15" t="s">
        <v>85</v>
      </c>
      <c r="C140" s="15">
        <v>1002007.7421276</v>
      </c>
      <c r="D140" t="s">
        <v>405</v>
      </c>
      <c r="E140" s="2">
        <f t="shared" si="23"/>
        <v>1002.0077421276</v>
      </c>
      <c r="F140" s="3">
        <f t="shared" si="24"/>
        <v>294.34979432740374</v>
      </c>
      <c r="G140">
        <f t="shared" si="25"/>
        <v>3826.5473262562487</v>
      </c>
    </row>
    <row r="141" spans="1:7" x14ac:dyDescent="0.45">
      <c r="A141" s="15" t="s">
        <v>82</v>
      </c>
      <c r="B141" s="15" t="s">
        <v>84</v>
      </c>
      <c r="C141" s="15">
        <v>259075.65540326</v>
      </c>
      <c r="D141" t="s">
        <v>406</v>
      </c>
      <c r="E141" s="2">
        <f t="shared" si="23"/>
        <v>259.07565540325999</v>
      </c>
      <c r="F141" s="3">
        <f t="shared" si="24"/>
        <v>76.106064531261651</v>
      </c>
      <c r="G141">
        <f t="shared" si="25"/>
        <v>989.37883890640148</v>
      </c>
    </row>
    <row r="142" spans="1:7" x14ac:dyDescent="0.45">
      <c r="A142" s="15" t="s">
        <v>82</v>
      </c>
      <c r="B142" s="15" t="s">
        <v>88</v>
      </c>
      <c r="C142" s="15">
        <v>406045.57940674399</v>
      </c>
      <c r="D142" t="s">
        <v>407</v>
      </c>
      <c r="E142" s="2">
        <f t="shared" si="23"/>
        <v>406.04557940674397</v>
      </c>
      <c r="F142" s="3">
        <f t="shared" si="24"/>
        <v>119.27994940652509</v>
      </c>
      <c r="G142">
        <f t="shared" si="25"/>
        <v>1550.6393422848262</v>
      </c>
    </row>
    <row r="143" spans="1:7" x14ac:dyDescent="0.45">
      <c r="A143" s="15" t="s">
        <v>82</v>
      </c>
      <c r="B143" s="15" t="s">
        <v>89</v>
      </c>
      <c r="C143" s="15">
        <v>295546.98928097601</v>
      </c>
      <c r="D143" t="s">
        <v>408</v>
      </c>
      <c r="E143" s="2">
        <f t="shared" si="23"/>
        <v>295.54698928097599</v>
      </c>
      <c r="F143" s="3">
        <f t="shared" si="24"/>
        <v>86.819883571179503</v>
      </c>
      <c r="G143">
        <f t="shared" si="25"/>
        <v>1128.6584864253336</v>
      </c>
    </row>
    <row r="144" spans="1:7" x14ac:dyDescent="0.45">
      <c r="A144" s="15" t="s">
        <v>86</v>
      </c>
      <c r="B144" s="15" t="s">
        <v>83</v>
      </c>
      <c r="C144" s="15">
        <v>224959.47157898601</v>
      </c>
      <c r="D144" t="s">
        <v>409</v>
      </c>
      <c r="E144" s="2">
        <f t="shared" si="23"/>
        <v>224.95947157898601</v>
      </c>
      <c r="F144" s="3">
        <f t="shared" si="24"/>
        <v>66.084094371042923</v>
      </c>
      <c r="G144">
        <f t="shared" si="25"/>
        <v>859.09322682355798</v>
      </c>
    </row>
    <row r="145" spans="1:7" x14ac:dyDescent="0.45">
      <c r="A145" s="15" t="s">
        <v>86</v>
      </c>
      <c r="B145" s="15" t="s">
        <v>87</v>
      </c>
      <c r="C145" s="15">
        <v>899807.64568718604</v>
      </c>
      <c r="D145" t="s">
        <v>410</v>
      </c>
      <c r="E145" s="2">
        <f t="shared" si="23"/>
        <v>899.8076456871861</v>
      </c>
      <c r="F145" s="3">
        <f t="shared" si="24"/>
        <v>264.32749399706773</v>
      </c>
      <c r="G145">
        <f t="shared" si="25"/>
        <v>3436.2574219618805</v>
      </c>
    </row>
    <row r="146" spans="1:7" x14ac:dyDescent="0.45">
      <c r="A146" s="15" t="s">
        <v>86</v>
      </c>
      <c r="B146" s="15" t="s">
        <v>81</v>
      </c>
      <c r="C146" s="15">
        <v>722323.73510159599</v>
      </c>
      <c r="D146" t="s">
        <v>411</v>
      </c>
      <c r="E146" s="2">
        <f t="shared" si="23"/>
        <v>722.32373510159596</v>
      </c>
      <c r="F146" s="3">
        <f t="shared" si="24"/>
        <v>212.18982042344481</v>
      </c>
      <c r="G146">
        <f t="shared" si="25"/>
        <v>2758.4676655047824</v>
      </c>
    </row>
    <row r="147" spans="1:7" x14ac:dyDescent="0.45">
      <c r="A147" s="15" t="s">
        <v>86</v>
      </c>
      <c r="B147" s="15" t="s">
        <v>90</v>
      </c>
      <c r="C147" s="15">
        <v>699904.863635396</v>
      </c>
      <c r="D147" t="s">
        <v>412</v>
      </c>
      <c r="E147" s="2">
        <f t="shared" si="23"/>
        <v>699.90486363539605</v>
      </c>
      <c r="F147" s="3">
        <f t="shared" si="24"/>
        <v>205.60405274153393</v>
      </c>
      <c r="G147">
        <f t="shared" si="25"/>
        <v>2672.8526856399412</v>
      </c>
    </row>
    <row r="148" spans="1:7" x14ac:dyDescent="0.45">
      <c r="A148" s="15" t="s">
        <v>86</v>
      </c>
      <c r="B148" s="15" t="s">
        <v>80</v>
      </c>
      <c r="C148" s="15">
        <v>588048.91917504999</v>
      </c>
      <c r="D148" t="s">
        <v>413</v>
      </c>
      <c r="E148" s="2">
        <f t="shared" si="23"/>
        <v>588.04891917504995</v>
      </c>
      <c r="F148" s="3">
        <f t="shared" si="24"/>
        <v>172.74525049686264</v>
      </c>
      <c r="G148">
        <f t="shared" si="25"/>
        <v>2245.6882564592142</v>
      </c>
    </row>
    <row r="149" spans="1:7" x14ac:dyDescent="0.45">
      <c r="A149" s="15" t="s">
        <v>86</v>
      </c>
      <c r="B149" s="15" t="s">
        <v>82</v>
      </c>
      <c r="C149" s="15">
        <v>217314.29472204499</v>
      </c>
      <c r="D149" t="s">
        <v>414</v>
      </c>
      <c r="E149" s="2">
        <f t="shared" si="23"/>
        <v>217.31429472204499</v>
      </c>
      <c r="F149" s="3">
        <f t="shared" si="24"/>
        <v>63.838247217547931</v>
      </c>
      <c r="G149">
        <f t="shared" si="25"/>
        <v>829.89721382812309</v>
      </c>
    </row>
    <row r="150" spans="1:7" x14ac:dyDescent="0.45">
      <c r="A150" s="15" t="s">
        <v>86</v>
      </c>
      <c r="B150" s="15" t="s">
        <v>85</v>
      </c>
      <c r="C150" s="15">
        <v>1073650.82345734</v>
      </c>
      <c r="D150" t="s">
        <v>415</v>
      </c>
      <c r="E150" s="2">
        <f t="shared" si="23"/>
        <v>1073.65082345734</v>
      </c>
      <c r="F150" s="3">
        <f t="shared" si="24"/>
        <v>315.39566589882816</v>
      </c>
      <c r="G150">
        <f t="shared" si="25"/>
        <v>4100.143656684766</v>
      </c>
    </row>
    <row r="151" spans="1:7" x14ac:dyDescent="0.45">
      <c r="A151" s="15" t="s">
        <v>86</v>
      </c>
      <c r="B151" s="15" t="s">
        <v>84</v>
      </c>
      <c r="C151" s="15">
        <v>291965.08176956698</v>
      </c>
      <c r="D151" t="s">
        <v>416</v>
      </c>
      <c r="E151" s="2">
        <f t="shared" si="23"/>
        <v>291.96508176956701</v>
      </c>
      <c r="F151" s="3">
        <f t="shared" si="24"/>
        <v>85.767662420628</v>
      </c>
      <c r="G151">
        <f t="shared" si="25"/>
        <v>1114.979611468164</v>
      </c>
    </row>
    <row r="152" spans="1:7" x14ac:dyDescent="0.45">
      <c r="A152" s="15" t="s">
        <v>86</v>
      </c>
      <c r="B152" s="15" t="s">
        <v>88</v>
      </c>
      <c r="C152" s="15">
        <v>551242.44877605501</v>
      </c>
      <c r="D152" t="s">
        <v>417</v>
      </c>
      <c r="E152" s="2">
        <f t="shared" si="23"/>
        <v>551.24244877605497</v>
      </c>
      <c r="F152" s="3">
        <f t="shared" si="24"/>
        <v>161.93298175245388</v>
      </c>
      <c r="G152">
        <f t="shared" si="25"/>
        <v>2105.1287627819006</v>
      </c>
    </row>
    <row r="153" spans="1:7" x14ac:dyDescent="0.45">
      <c r="A153" s="15" t="s">
        <v>86</v>
      </c>
      <c r="B153" s="15" t="s">
        <v>89</v>
      </c>
      <c r="C153" s="15">
        <v>503423.97296481702</v>
      </c>
      <c r="D153" t="s">
        <v>418</v>
      </c>
      <c r="E153" s="2">
        <f t="shared" si="23"/>
        <v>503.42397296481704</v>
      </c>
      <c r="F153" s="3">
        <f t="shared" si="24"/>
        <v>147.88582629814465</v>
      </c>
      <c r="G153">
        <f t="shared" si="25"/>
        <v>1922.5157418758804</v>
      </c>
    </row>
    <row r="154" spans="1:7" x14ac:dyDescent="0.45">
      <c r="A154" s="15" t="s">
        <v>84</v>
      </c>
      <c r="B154" s="15" t="s">
        <v>83</v>
      </c>
      <c r="C154" s="15">
        <v>454154.24104906601</v>
      </c>
      <c r="D154" t="s">
        <v>419</v>
      </c>
      <c r="E154" s="2">
        <f t="shared" si="23"/>
        <v>454.154241049066</v>
      </c>
      <c r="F154" s="3">
        <f t="shared" si="24"/>
        <v>133.41234985057361</v>
      </c>
      <c r="G154">
        <f t="shared" si="25"/>
        <v>1734.360548057457</v>
      </c>
    </row>
    <row r="155" spans="1:7" x14ac:dyDescent="0.45">
      <c r="A155" s="15" t="s">
        <v>84</v>
      </c>
      <c r="B155" s="15" t="s">
        <v>87</v>
      </c>
      <c r="C155" s="15">
        <v>608377.99139154598</v>
      </c>
      <c r="D155" t="s">
        <v>420</v>
      </c>
      <c r="E155" s="2">
        <f t="shared" si="23"/>
        <v>608.37799139154595</v>
      </c>
      <c r="F155" s="3">
        <f t="shared" si="24"/>
        <v>178.71711875118052</v>
      </c>
      <c r="G155">
        <f t="shared" si="25"/>
        <v>2323.3225437653468</v>
      </c>
    </row>
    <row r="156" spans="1:7" x14ac:dyDescent="0.45">
      <c r="A156" s="15" t="s">
        <v>84</v>
      </c>
      <c r="B156" s="15" t="s">
        <v>81</v>
      </c>
      <c r="C156" s="15">
        <v>873992.81013959297</v>
      </c>
      <c r="D156" t="s">
        <v>421</v>
      </c>
      <c r="E156" s="2">
        <f t="shared" si="23"/>
        <v>873.99281013959296</v>
      </c>
      <c r="F156" s="3">
        <f t="shared" si="24"/>
        <v>256.74412790660682</v>
      </c>
      <c r="G156">
        <f t="shared" si="25"/>
        <v>3337.6736627858886</v>
      </c>
    </row>
    <row r="157" spans="1:7" x14ac:dyDescent="0.45">
      <c r="A157" s="15" t="s">
        <v>84</v>
      </c>
      <c r="B157" s="15" t="s">
        <v>90</v>
      </c>
      <c r="C157" s="15">
        <v>776503.83159743005</v>
      </c>
      <c r="D157" t="s">
        <v>422</v>
      </c>
      <c r="E157" s="2">
        <f t="shared" si="23"/>
        <v>776.50383159743001</v>
      </c>
      <c r="F157" s="3">
        <f t="shared" si="24"/>
        <v>228.10576557006101</v>
      </c>
      <c r="G157">
        <f t="shared" si="25"/>
        <v>2965.374952410793</v>
      </c>
    </row>
    <row r="158" spans="1:7" x14ac:dyDescent="0.45">
      <c r="A158" s="15" t="s">
        <v>84</v>
      </c>
      <c r="B158" s="15" t="s">
        <v>80</v>
      </c>
      <c r="C158" s="15">
        <v>784048.79089354002</v>
      </c>
      <c r="D158" t="s">
        <v>423</v>
      </c>
      <c r="E158" s="2">
        <f t="shared" si="23"/>
        <v>784.04879089354006</v>
      </c>
      <c r="F158" s="3">
        <f t="shared" si="24"/>
        <v>230.32217281288629</v>
      </c>
      <c r="G158">
        <f t="shared" si="25"/>
        <v>2994.1882465675217</v>
      </c>
    </row>
    <row r="159" spans="1:7" x14ac:dyDescent="0.45">
      <c r="A159" s="15" t="s">
        <v>84</v>
      </c>
      <c r="B159" s="15" t="s">
        <v>86</v>
      </c>
      <c r="C159" s="15">
        <v>291965.08176956698</v>
      </c>
      <c r="D159" t="s">
        <v>424</v>
      </c>
      <c r="E159" s="2">
        <f t="shared" si="23"/>
        <v>291.96508176956701</v>
      </c>
      <c r="F159" s="3">
        <f t="shared" si="24"/>
        <v>85.767662420628</v>
      </c>
      <c r="G159">
        <f t="shared" si="25"/>
        <v>1114.979611468164</v>
      </c>
    </row>
    <row r="160" spans="1:7" x14ac:dyDescent="0.45">
      <c r="A160" s="15" t="s">
        <v>84</v>
      </c>
      <c r="B160" s="15" t="s">
        <v>82</v>
      </c>
      <c r="C160" s="15">
        <v>259075.65540326</v>
      </c>
      <c r="D160" t="s">
        <v>425</v>
      </c>
      <c r="E160" s="2">
        <f t="shared" ref="E160:E173" si="26">C160/1000</f>
        <v>259.07565540325999</v>
      </c>
      <c r="F160" s="3">
        <f t="shared" ref="F160:F173" si="27">IF(LEFT(A160,2)="DK",$D$46*E160,$D$47*E160)</f>
        <v>76.106064531261651</v>
      </c>
      <c r="G160">
        <f t="shared" si="25"/>
        <v>989.37883890640148</v>
      </c>
    </row>
    <row r="161" spans="1:7" x14ac:dyDescent="0.45">
      <c r="A161" s="15" t="s">
        <v>84</v>
      </c>
      <c r="B161" s="15" t="s">
        <v>85</v>
      </c>
      <c r="C161" s="15">
        <v>784026.30675541295</v>
      </c>
      <c r="D161" t="s">
        <v>426</v>
      </c>
      <c r="E161" s="2">
        <f t="shared" si="26"/>
        <v>784.02630675541297</v>
      </c>
      <c r="F161" s="3">
        <f t="shared" si="27"/>
        <v>230.3155678724701</v>
      </c>
      <c r="G161">
        <f t="shared" si="25"/>
        <v>2994.1023823421115</v>
      </c>
    </row>
    <row r="162" spans="1:7" x14ac:dyDescent="0.45">
      <c r="A162" s="15" t="s">
        <v>84</v>
      </c>
      <c r="B162" s="15" t="s">
        <v>88</v>
      </c>
      <c r="C162" s="15">
        <v>294330.70056182903</v>
      </c>
      <c r="D162" t="s">
        <v>427</v>
      </c>
      <c r="E162" s="2">
        <f t="shared" si="26"/>
        <v>294.33070056182902</v>
      </c>
      <c r="F162" s="3">
        <f t="shared" si="27"/>
        <v>86.462586597042886</v>
      </c>
      <c r="G162">
        <f t="shared" si="25"/>
        <v>1124.0136257615575</v>
      </c>
    </row>
    <row r="163" spans="1:7" x14ac:dyDescent="0.45">
      <c r="A163" s="15" t="s">
        <v>84</v>
      </c>
      <c r="B163" s="15" t="s">
        <v>89</v>
      </c>
      <c r="C163" s="15">
        <v>497103.68941215298</v>
      </c>
      <c r="D163" t="s">
        <v>428</v>
      </c>
      <c r="E163" s="2">
        <f t="shared" si="26"/>
        <v>497.10368941215296</v>
      </c>
      <c r="F163" s="3">
        <f t="shared" si="27"/>
        <v>146.02917980171404</v>
      </c>
      <c r="G163">
        <f t="shared" si="25"/>
        <v>1898.3793374222826</v>
      </c>
    </row>
    <row r="164" spans="1:7" x14ac:dyDescent="0.45">
      <c r="A164" s="15" t="s">
        <v>85</v>
      </c>
      <c r="B164" s="15" t="s">
        <v>83</v>
      </c>
      <c r="C164" s="15">
        <v>1226621.3806062799</v>
      </c>
      <c r="D164" t="s">
        <v>429</v>
      </c>
      <c r="E164" s="2">
        <f t="shared" si="26"/>
        <v>1226.6213806062799</v>
      </c>
      <c r="F164" s="3">
        <f t="shared" si="27"/>
        <v>360.33229676690075</v>
      </c>
      <c r="G164">
        <f t="shared" si="25"/>
        <v>4684.31985796971</v>
      </c>
    </row>
    <row r="165" spans="1:7" x14ac:dyDescent="0.45">
      <c r="A165" s="15" t="s">
        <v>85</v>
      </c>
      <c r="B165" s="15" t="s">
        <v>87</v>
      </c>
      <c r="C165" s="15">
        <v>232699.057975562</v>
      </c>
      <c r="D165" t="s">
        <v>430</v>
      </c>
      <c r="E165" s="2">
        <f t="shared" si="26"/>
        <v>232.699057975562</v>
      </c>
      <c r="F165" s="3">
        <f t="shared" si="27"/>
        <v>68.357675270901083</v>
      </c>
      <c r="G165">
        <f t="shared" si="25"/>
        <v>888.6497785217141</v>
      </c>
    </row>
    <row r="166" spans="1:7" x14ac:dyDescent="0.45">
      <c r="A166" s="15" t="s">
        <v>85</v>
      </c>
      <c r="B166" s="15" t="s">
        <v>81</v>
      </c>
      <c r="C166" s="15">
        <v>1549468.1037576899</v>
      </c>
      <c r="D166" t="s">
        <v>431</v>
      </c>
      <c r="E166" s="2">
        <f t="shared" si="26"/>
        <v>1549.46810375769</v>
      </c>
      <c r="F166" s="3">
        <f t="shared" si="27"/>
        <v>455.17175015985896</v>
      </c>
      <c r="G166">
        <f t="shared" si="25"/>
        <v>5917.2327520781664</v>
      </c>
    </row>
    <row r="167" spans="1:7" x14ac:dyDescent="0.45">
      <c r="A167" s="15" t="s">
        <v>85</v>
      </c>
      <c r="B167" s="15" t="s">
        <v>90</v>
      </c>
      <c r="C167" s="15">
        <v>1379579.4291508601</v>
      </c>
      <c r="D167" t="s">
        <v>432</v>
      </c>
      <c r="E167" s="2">
        <f t="shared" si="26"/>
        <v>1379.5794291508601</v>
      </c>
      <c r="F167" s="3">
        <f t="shared" si="27"/>
        <v>405.26525310735661</v>
      </c>
      <c r="G167">
        <f t="shared" si="25"/>
        <v>5268.4482903956359</v>
      </c>
    </row>
    <row r="168" spans="1:7" x14ac:dyDescent="0.45">
      <c r="A168" s="15" t="s">
        <v>85</v>
      </c>
      <c r="B168" s="15" t="s">
        <v>80</v>
      </c>
      <c r="C168" s="15">
        <v>1511279.0396215999</v>
      </c>
      <c r="D168" t="s">
        <v>433</v>
      </c>
      <c r="E168" s="2">
        <f t="shared" si="26"/>
        <v>1511.2790396215998</v>
      </c>
      <c r="F168" s="3">
        <f t="shared" si="27"/>
        <v>443.95333067924111</v>
      </c>
      <c r="G168">
        <f t="shared" si="25"/>
        <v>5771.393298830134</v>
      </c>
    </row>
    <row r="169" spans="1:7" x14ac:dyDescent="0.45">
      <c r="A169" s="15" t="s">
        <v>85</v>
      </c>
      <c r="B169" s="15" t="s">
        <v>86</v>
      </c>
      <c r="C169" s="15">
        <v>1073650.82345734</v>
      </c>
      <c r="D169" t="s">
        <v>434</v>
      </c>
      <c r="E169" s="2">
        <f t="shared" si="26"/>
        <v>1073.65082345734</v>
      </c>
      <c r="F169" s="3">
        <f t="shared" si="27"/>
        <v>315.39566589882816</v>
      </c>
      <c r="G169">
        <f t="shared" si="25"/>
        <v>4100.143656684766</v>
      </c>
    </row>
    <row r="170" spans="1:7" x14ac:dyDescent="0.45">
      <c r="A170" s="15" t="s">
        <v>85</v>
      </c>
      <c r="B170" s="15" t="s">
        <v>82</v>
      </c>
      <c r="C170" s="15">
        <v>1002007.7421276</v>
      </c>
      <c r="D170" t="s">
        <v>435</v>
      </c>
      <c r="E170" s="2">
        <f t="shared" si="26"/>
        <v>1002.0077421276</v>
      </c>
      <c r="F170" s="3">
        <f t="shared" si="27"/>
        <v>294.34979432740374</v>
      </c>
      <c r="G170">
        <f t="shared" si="25"/>
        <v>3826.5473262562487</v>
      </c>
    </row>
    <row r="171" spans="1:7" x14ac:dyDescent="0.45">
      <c r="A171" s="15" t="s">
        <v>85</v>
      </c>
      <c r="B171" s="15" t="s">
        <v>84</v>
      </c>
      <c r="C171" s="15">
        <v>784026.30675541295</v>
      </c>
      <c r="D171" t="s">
        <v>436</v>
      </c>
      <c r="E171" s="2">
        <f t="shared" si="26"/>
        <v>784.02630675541297</v>
      </c>
      <c r="F171" s="3">
        <f t="shared" si="27"/>
        <v>230.3155678724701</v>
      </c>
      <c r="G171">
        <f t="shared" si="25"/>
        <v>2994.1023823421115</v>
      </c>
    </row>
    <row r="172" spans="1:7" x14ac:dyDescent="0.45">
      <c r="A172" s="15" t="s">
        <v>85</v>
      </c>
      <c r="B172" s="15" t="s">
        <v>88</v>
      </c>
      <c r="C172" s="15">
        <v>627780.67004774802</v>
      </c>
      <c r="D172" t="s">
        <v>437</v>
      </c>
      <c r="E172" s="2">
        <f t="shared" si="26"/>
        <v>627.780670047748</v>
      </c>
      <c r="F172" s="3">
        <f t="shared" si="27"/>
        <v>184.41684963322643</v>
      </c>
      <c r="G172">
        <f t="shared" si="25"/>
        <v>2397.4190452319435</v>
      </c>
    </row>
    <row r="173" spans="1:7" x14ac:dyDescent="0.45">
      <c r="A173" s="15" t="s">
        <v>85</v>
      </c>
      <c r="B173" s="15" t="s">
        <v>89</v>
      </c>
      <c r="C173" s="15">
        <v>1086634.6605829699</v>
      </c>
      <c r="D173" t="s">
        <v>438</v>
      </c>
      <c r="E173" s="2">
        <f t="shared" si="26"/>
        <v>1086.6346605829699</v>
      </c>
      <c r="F173" s="3">
        <f t="shared" si="27"/>
        <v>319.2097978928532</v>
      </c>
      <c r="G173">
        <f t="shared" si="25"/>
        <v>4149.7273726070916</v>
      </c>
    </row>
    <row r="177" spans="1:11" s="37" customFormat="1" x14ac:dyDescent="0.45">
      <c r="A177" s="36" t="s">
        <v>550</v>
      </c>
    </row>
    <row r="178" spans="1:11" x14ac:dyDescent="0.45">
      <c r="I178" t="s">
        <v>560</v>
      </c>
      <c r="J178" t="s">
        <v>562</v>
      </c>
      <c r="K178" t="s">
        <v>563</v>
      </c>
    </row>
    <row r="179" spans="1:11" x14ac:dyDescent="0.45">
      <c r="B179" t="s">
        <v>9</v>
      </c>
      <c r="C179" t="s">
        <v>555</v>
      </c>
      <c r="D179" t="s">
        <v>556</v>
      </c>
      <c r="H179" t="s">
        <v>559</v>
      </c>
      <c r="I179" t="s">
        <v>555</v>
      </c>
    </row>
    <row r="180" spans="1:11" x14ac:dyDescent="0.45">
      <c r="B180" t="s">
        <v>553</v>
      </c>
      <c r="C180" s="3">
        <f>318.24/13</f>
        <v>24.48</v>
      </c>
      <c r="D180" s="79">
        <f>C180/3.6</f>
        <v>6.8</v>
      </c>
      <c r="H180" t="s">
        <v>553</v>
      </c>
      <c r="I180" s="3">
        <f>C180</f>
        <v>24.48</v>
      </c>
      <c r="J180">
        <f>I180*2.5</f>
        <v>61.2</v>
      </c>
      <c r="K180">
        <f>I180*5</f>
        <v>122.4</v>
      </c>
    </row>
    <row r="181" spans="1:11" x14ac:dyDescent="0.45">
      <c r="B181" t="s">
        <v>554</v>
      </c>
      <c r="C181" s="3">
        <f>D181*3.6</f>
        <v>28.44</v>
      </c>
      <c r="D181" s="79">
        <v>7.9</v>
      </c>
      <c r="E181" t="s">
        <v>557</v>
      </c>
      <c r="H181" t="s">
        <v>554</v>
      </c>
      <c r="I181" s="3">
        <f>C181</f>
        <v>28.44</v>
      </c>
      <c r="J181">
        <f>I181*2.5</f>
        <v>71.100000000000009</v>
      </c>
      <c r="K181">
        <f>I181*7</f>
        <v>199.08</v>
      </c>
    </row>
    <row r="182" spans="1:11" x14ac:dyDescent="0.45">
      <c r="B182" t="s">
        <v>558</v>
      </c>
      <c r="C182" s="3">
        <f>D182*3.6</f>
        <v>35.28</v>
      </c>
      <c r="D182">
        <v>9.8000000000000007</v>
      </c>
      <c r="H182" t="s">
        <v>558</v>
      </c>
      <c r="I182" s="3">
        <f>(C182-C181)</f>
        <v>6.84</v>
      </c>
      <c r="J182">
        <f>I182*2.5</f>
        <v>17.100000000000001</v>
      </c>
      <c r="K182">
        <f>I182*7</f>
        <v>47.879999999999995</v>
      </c>
    </row>
    <row r="183" spans="1:11" x14ac:dyDescent="0.45">
      <c r="I183" t="s">
        <v>561</v>
      </c>
    </row>
    <row r="185" spans="1:11" x14ac:dyDescent="0.45">
      <c r="B185" t="s">
        <v>566</v>
      </c>
      <c r="C185" t="s">
        <v>564</v>
      </c>
      <c r="D185" t="s">
        <v>556</v>
      </c>
      <c r="E185" t="s">
        <v>555</v>
      </c>
    </row>
    <row r="186" spans="1:11" x14ac:dyDescent="0.45">
      <c r="B186" t="s">
        <v>553</v>
      </c>
      <c r="C186">
        <v>5.3</v>
      </c>
      <c r="D186" s="79">
        <f>C186*Economic!$O$55</f>
        <v>5.0456968773800446</v>
      </c>
      <c r="E186" s="3">
        <f>D186*3.6</f>
        <v>18.164508758568161</v>
      </c>
      <c r="F186" s="3"/>
    </row>
    <row r="187" spans="1:11" x14ac:dyDescent="0.45">
      <c r="B187" t="s">
        <v>554</v>
      </c>
      <c r="C187">
        <v>5.9</v>
      </c>
      <c r="D187" s="79">
        <f>C187*Economic!$O$55</f>
        <v>5.6169078446306164</v>
      </c>
      <c r="E187" s="3">
        <f>D187*3.6</f>
        <v>20.220868240670221</v>
      </c>
    </row>
    <row r="188" spans="1:11" x14ac:dyDescent="0.45">
      <c r="B188" t="s">
        <v>558</v>
      </c>
      <c r="C188">
        <v>7.7</v>
      </c>
      <c r="D188" s="79">
        <f>C188*Economic!$O$55</f>
        <v>7.3305407463823302</v>
      </c>
      <c r="E188" s="3">
        <f>D188*3.6</f>
        <v>26.389946686976391</v>
      </c>
    </row>
    <row r="190" spans="1:11" x14ac:dyDescent="0.45">
      <c r="D190" t="s">
        <v>1161</v>
      </c>
      <c r="F190" t="s">
        <v>1160</v>
      </c>
      <c r="I190" t="s">
        <v>1302</v>
      </c>
    </row>
    <row r="191" spans="1:11" x14ac:dyDescent="0.45">
      <c r="C191">
        <v>2030</v>
      </c>
      <c r="D191">
        <v>2040</v>
      </c>
      <c r="E191">
        <v>2050</v>
      </c>
      <c r="F191">
        <v>2030</v>
      </c>
      <c r="G191">
        <v>2040</v>
      </c>
      <c r="H191">
        <v>2050</v>
      </c>
      <c r="I191">
        <v>2030</v>
      </c>
      <c r="J191">
        <v>2040</v>
      </c>
      <c r="K191">
        <v>2050</v>
      </c>
    </row>
    <row r="192" spans="1:11" x14ac:dyDescent="0.45">
      <c r="B192" t="s">
        <v>553</v>
      </c>
      <c r="C192">
        <v>21.934501142421933</v>
      </c>
      <c r="D192">
        <v>23.648134044173645</v>
      </c>
      <c r="E192">
        <v>25.361766945925361</v>
      </c>
      <c r="F192">
        <v>24.676313785224675</v>
      </c>
      <c r="G192">
        <v>28.103579588728099</v>
      </c>
      <c r="H192">
        <v>31.188118811881182</v>
      </c>
      <c r="K192" s="3">
        <v>18.164508758568161</v>
      </c>
    </row>
    <row r="193" spans="2:11" x14ac:dyDescent="0.45">
      <c r="B193" t="s">
        <v>554</v>
      </c>
      <c r="C193">
        <v>24.33358720487433</v>
      </c>
      <c r="D193">
        <v>26.047220106626042</v>
      </c>
      <c r="E193">
        <v>28.103579588728099</v>
      </c>
      <c r="F193">
        <v>27.418126428027417</v>
      </c>
      <c r="G193">
        <v>30.845392231530841</v>
      </c>
      <c r="H193">
        <v>34.958111195734951</v>
      </c>
      <c r="K193" s="3">
        <v>20.220868240670221</v>
      </c>
    </row>
    <row r="194" spans="2:11" x14ac:dyDescent="0.45">
      <c r="B194" t="s">
        <v>558</v>
      </c>
      <c r="C194">
        <v>30.502665651180504</v>
      </c>
      <c r="D194">
        <v>31.530845392231527</v>
      </c>
      <c r="E194">
        <v>32.901751713632898</v>
      </c>
      <c r="F194">
        <v>32.559025133282553</v>
      </c>
      <c r="G194">
        <v>34.958111195734951</v>
      </c>
      <c r="H194">
        <v>37.6999238385377</v>
      </c>
      <c r="K194" s="3">
        <v>26.389946686976391</v>
      </c>
    </row>
    <row r="195" spans="2:11" x14ac:dyDescent="0.45">
      <c r="B195" t="s">
        <v>943</v>
      </c>
      <c r="C195">
        <f t="shared" ref="C195:K195" si="28">C194-C193</f>
        <v>6.1690784463061732</v>
      </c>
      <c r="D195">
        <f t="shared" si="28"/>
        <v>5.4836252856054841</v>
      </c>
      <c r="E195">
        <f t="shared" si="28"/>
        <v>4.7981721249047986</v>
      </c>
      <c r="F195">
        <f t="shared" si="28"/>
        <v>5.140898705255136</v>
      </c>
      <c r="G195">
        <f t="shared" si="28"/>
        <v>4.1127189642041095</v>
      </c>
      <c r="H195">
        <f t="shared" si="28"/>
        <v>2.7418126428027492</v>
      </c>
      <c r="I195">
        <f t="shared" si="28"/>
        <v>0</v>
      </c>
      <c r="J195">
        <f t="shared" si="28"/>
        <v>0</v>
      </c>
      <c r="K195" s="3">
        <f t="shared" si="28"/>
        <v>6.1690784463061696</v>
      </c>
    </row>
    <row r="196" spans="2:11" x14ac:dyDescent="0.45">
      <c r="C196">
        <f>C194/3.6</f>
        <v>8.472962680883473</v>
      </c>
      <c r="D196">
        <f t="shared" ref="D196:E196" si="29">D194/3.6</f>
        <v>8.7585681645087572</v>
      </c>
      <c r="E196">
        <f t="shared" si="29"/>
        <v>9.1393754760091372</v>
      </c>
    </row>
    <row r="197" spans="2:11" x14ac:dyDescent="0.45">
      <c r="C197">
        <f>C193/3.6</f>
        <v>6.7593297791317584</v>
      </c>
      <c r="D197">
        <f t="shared" ref="D197:E197" si="30">D193/3.6</f>
        <v>7.2353389185072334</v>
      </c>
      <c r="E197">
        <f t="shared" si="30"/>
        <v>7.8065498857578053</v>
      </c>
    </row>
    <row r="198" spans="2:11" x14ac:dyDescent="0.45">
      <c r="H198">
        <f>H192/E192</f>
        <v>1.2297297297297296</v>
      </c>
      <c r="K198">
        <f>K192/E192</f>
        <v>0.71621621621621612</v>
      </c>
    </row>
    <row r="199" spans="2:11" x14ac:dyDescent="0.45">
      <c r="H199">
        <f t="shared" ref="H199:H200" si="31">H193/E193</f>
        <v>1.2439024390243902</v>
      </c>
      <c r="K199">
        <f t="shared" ref="K199:K200" si="32">K193/E193</f>
        <v>0.7195121951219513</v>
      </c>
    </row>
    <row r="200" spans="2:11" x14ac:dyDescent="0.45">
      <c r="H200">
        <f t="shared" si="31"/>
        <v>1.1458333333333335</v>
      </c>
      <c r="K200">
        <f t="shared" si="32"/>
        <v>0.80208333333333348</v>
      </c>
    </row>
  </sheetData>
  <autoFilter ref="A63:G173" xr:uid="{00000000-0009-0000-0000-000005000000}"/>
  <mergeCells count="3">
    <mergeCell ref="C37:D37"/>
    <mergeCell ref="C45:D45"/>
    <mergeCell ref="C41:D41"/>
  </mergeCells>
  <conditionalFormatting sqref="B13:BB13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CF77:CL77 CE75 AS77:CD77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W335"/>
  <sheetViews>
    <sheetView zoomScale="85" zoomScaleNormal="85" workbookViewId="0">
      <selection activeCell="G249" sqref="G249"/>
    </sheetView>
  </sheetViews>
  <sheetFormatPr defaultRowHeight="14.25" x14ac:dyDescent="0.45"/>
  <cols>
    <col min="1" max="1" width="12.3984375" bestFit="1" customWidth="1"/>
    <col min="2" max="2" width="14.86328125" bestFit="1" customWidth="1"/>
    <col min="3" max="3" width="13.265625" customWidth="1"/>
    <col min="4" max="4" width="13.3984375" customWidth="1"/>
    <col min="5" max="5" width="13.59765625" customWidth="1"/>
    <col min="6" max="6" width="12" customWidth="1"/>
    <col min="7" max="7" width="13.265625" customWidth="1"/>
    <col min="8" max="8" width="13.73046875" customWidth="1"/>
    <col min="9" max="9" width="13.86328125" customWidth="1"/>
    <col min="10" max="12" width="11.86328125" bestFit="1" customWidth="1"/>
    <col min="13" max="13" width="12.3984375" customWidth="1"/>
    <col min="14" max="14" width="16.1328125" bestFit="1" customWidth="1"/>
    <col min="15" max="15" width="12.86328125" bestFit="1" customWidth="1"/>
    <col min="16" max="16" width="16.1328125" bestFit="1" customWidth="1"/>
    <col min="17" max="17" width="12.86328125" bestFit="1" customWidth="1"/>
    <col min="18" max="18" width="16.1328125" bestFit="1" customWidth="1"/>
    <col min="19" max="19" width="12.86328125" bestFit="1" customWidth="1"/>
    <col min="20" max="20" width="16.1328125" bestFit="1" customWidth="1"/>
    <col min="21" max="21" width="14.265625" customWidth="1"/>
    <col min="22" max="22" width="16.1328125" bestFit="1" customWidth="1"/>
    <col min="23" max="23" width="12.86328125" bestFit="1" customWidth="1"/>
    <col min="24" max="24" width="21.1328125" bestFit="1" customWidth="1"/>
    <col min="25" max="25" width="17.73046875" bestFit="1" customWidth="1"/>
    <col min="26" max="42" width="10.1328125" bestFit="1" customWidth="1"/>
    <col min="43" max="43" width="13.1328125" customWidth="1"/>
    <col min="44" max="44" width="10.1328125" bestFit="1" customWidth="1"/>
    <col min="45" max="45" width="12.73046875" bestFit="1" customWidth="1"/>
    <col min="46" max="46" width="13.265625" customWidth="1"/>
    <col min="47" max="47" width="12.59765625" customWidth="1"/>
    <col min="48" max="48" width="12.1328125" customWidth="1"/>
    <col min="49" max="49" width="12.59765625" customWidth="1"/>
    <col min="50" max="50" width="13" customWidth="1"/>
    <col min="51" max="51" width="13.3984375" customWidth="1"/>
    <col min="52" max="52" width="11.1328125" customWidth="1"/>
    <col min="53" max="53" width="11.3984375" customWidth="1"/>
    <col min="54" max="54" width="12.3984375" customWidth="1"/>
    <col min="55" max="56" width="13" customWidth="1"/>
    <col min="57" max="58" width="9.1328125" bestFit="1" customWidth="1"/>
    <col min="59" max="59" width="12" customWidth="1"/>
    <col min="60" max="62" width="9.1328125" bestFit="1" customWidth="1"/>
    <col min="63" max="63" width="13.3984375" customWidth="1"/>
    <col min="64" max="64" width="13.86328125" customWidth="1"/>
    <col min="65" max="65" width="12.1328125" customWidth="1"/>
    <col min="66" max="66" width="12" customWidth="1"/>
    <col min="67" max="68" width="9.1328125" bestFit="1" customWidth="1"/>
    <col min="69" max="69" width="12" bestFit="1" customWidth="1"/>
    <col min="70" max="71" width="9.1328125" bestFit="1" customWidth="1"/>
    <col min="72" max="72" width="11.265625" customWidth="1"/>
    <col min="73" max="73" width="12" bestFit="1" customWidth="1"/>
    <col min="74" max="74" width="12.73046875" customWidth="1"/>
    <col min="75" max="75" width="12" bestFit="1" customWidth="1"/>
    <col min="76" max="76" width="12.73046875" customWidth="1"/>
    <col min="77" max="77" width="13.59765625" customWidth="1"/>
    <col min="78" max="78" width="14.3984375" customWidth="1"/>
    <col min="79" max="79" width="13" customWidth="1"/>
    <col min="80" max="80" width="12" bestFit="1" customWidth="1"/>
    <col min="81" max="81" width="11.1328125" customWidth="1"/>
    <col min="82" max="85" width="9.1328125" bestFit="1" customWidth="1"/>
    <col min="86" max="86" width="12.59765625" customWidth="1"/>
    <col min="87" max="87" width="14" customWidth="1"/>
    <col min="88" max="88" width="13.59765625" customWidth="1"/>
    <col min="89" max="89" width="13" customWidth="1"/>
    <col min="90" max="90" width="12.59765625" customWidth="1"/>
    <col min="91" max="91" width="13.3984375" bestFit="1" customWidth="1"/>
  </cols>
  <sheetData>
    <row r="1" spans="1:5" x14ac:dyDescent="0.45">
      <c r="A1" t="s">
        <v>3</v>
      </c>
      <c r="B1" t="s">
        <v>6</v>
      </c>
      <c r="C1" s="17" t="s">
        <v>169</v>
      </c>
    </row>
    <row r="7" spans="1:5" s="37" customFormat="1" x14ac:dyDescent="0.45">
      <c r="A7" s="36" t="s">
        <v>543</v>
      </c>
    </row>
    <row r="9" spans="1:5" ht="14.65" thickBot="1" x14ac:dyDescent="0.5">
      <c r="B9" t="s">
        <v>544</v>
      </c>
    </row>
    <row r="10" spans="1:5" ht="14.65" thickBot="1" x14ac:dyDescent="0.5">
      <c r="B10" s="34" t="s">
        <v>444</v>
      </c>
      <c r="C10" s="34" t="s">
        <v>446</v>
      </c>
      <c r="D10" s="34" t="s">
        <v>445</v>
      </c>
      <c r="E10" s="71" t="s">
        <v>538</v>
      </c>
    </row>
    <row r="11" spans="1:5" ht="14.65" thickBot="1" x14ac:dyDescent="0.5">
      <c r="B11" s="34" t="s">
        <v>92</v>
      </c>
      <c r="C11" s="35">
        <v>168029</v>
      </c>
      <c r="D11" s="70">
        <v>398376.20573197823</v>
      </c>
      <c r="E11" s="40">
        <v>398376.20573197823</v>
      </c>
    </row>
    <row r="12" spans="1:5" ht="14.65" thickBot="1" x14ac:dyDescent="0.5">
      <c r="B12" s="34" t="s">
        <v>92</v>
      </c>
      <c r="C12" s="35">
        <v>363062</v>
      </c>
      <c r="D12" s="70">
        <v>471497.6561811578</v>
      </c>
      <c r="E12" s="40">
        <v>471497.6561811578</v>
      </c>
    </row>
    <row r="13" spans="1:5" ht="14.65" thickBot="1" x14ac:dyDescent="0.5">
      <c r="B13" s="34" t="s">
        <v>92</v>
      </c>
      <c r="C13" s="35">
        <v>1263897</v>
      </c>
      <c r="D13" s="70">
        <v>2077299.6463567717</v>
      </c>
      <c r="E13" s="40">
        <v>2077299.6463567717</v>
      </c>
    </row>
    <row r="14" spans="1:5" ht="14.65" thickBot="1" x14ac:dyDescent="0.5">
      <c r="B14" s="34" t="s">
        <v>92</v>
      </c>
      <c r="C14" s="35">
        <v>497780</v>
      </c>
      <c r="D14" s="70">
        <v>1006299.3293951283</v>
      </c>
      <c r="E14" s="40">
        <v>1006299.3293951283</v>
      </c>
    </row>
    <row r="15" spans="1:5" ht="14.65" thickBot="1" x14ac:dyDescent="0.5">
      <c r="B15" s="34" t="s">
        <v>94</v>
      </c>
      <c r="C15" s="35">
        <v>762665</v>
      </c>
      <c r="D15" s="70">
        <v>957228.6611081888</v>
      </c>
      <c r="E15" s="40">
        <v>957228.6611081888</v>
      </c>
    </row>
    <row r="16" spans="1:5" ht="14.65" thickBot="1" x14ac:dyDescent="0.5">
      <c r="B16" s="34" t="s">
        <v>94</v>
      </c>
      <c r="C16" s="35">
        <v>5698690</v>
      </c>
      <c r="D16" s="70">
        <v>7212272.637471146</v>
      </c>
      <c r="E16" s="40">
        <v>7212272.637471146</v>
      </c>
    </row>
    <row r="17" spans="2:5" ht="14.65" thickBot="1" x14ac:dyDescent="0.5">
      <c r="B17" s="34" t="s">
        <v>96</v>
      </c>
      <c r="C17" s="35">
        <v>3025662</v>
      </c>
      <c r="D17" s="70">
        <v>3822449.0995212914</v>
      </c>
      <c r="E17" s="40">
        <v>3822449.0995212914</v>
      </c>
    </row>
    <row r="18" spans="2:5" ht="14.65" thickBot="1" x14ac:dyDescent="0.5">
      <c r="B18" s="75" t="s">
        <v>96</v>
      </c>
      <c r="C18" s="76">
        <v>7357802</v>
      </c>
      <c r="D18" s="77">
        <v>6737025.873028365</v>
      </c>
      <c r="E18" s="78">
        <v>6737025.873028365</v>
      </c>
    </row>
    <row r="19" spans="2:5" ht="14.65" thickBot="1" x14ac:dyDescent="0.5">
      <c r="B19" s="75" t="s">
        <v>98</v>
      </c>
      <c r="C19" s="76">
        <v>6065488</v>
      </c>
      <c r="D19" s="77">
        <v>5397959.2223329628</v>
      </c>
      <c r="E19" s="78">
        <v>5397959.2223329628</v>
      </c>
    </row>
    <row r="20" spans="2:5" ht="14.65" thickBot="1" x14ac:dyDescent="0.5">
      <c r="B20" s="75" t="s">
        <v>98</v>
      </c>
      <c r="C20" s="76">
        <v>5051071</v>
      </c>
      <c r="D20" s="77">
        <v>7533195.3620227361</v>
      </c>
      <c r="E20" s="78">
        <v>7533195.3620227361</v>
      </c>
    </row>
    <row r="21" spans="2:5" ht="14.65" thickBot="1" x14ac:dyDescent="0.5">
      <c r="B21" s="75" t="s">
        <v>99</v>
      </c>
      <c r="C21" s="76">
        <v>6692996</v>
      </c>
      <c r="D21" s="77">
        <v>6065928.0903738402</v>
      </c>
      <c r="E21" s="78">
        <v>6065928.0903738402</v>
      </c>
    </row>
    <row r="22" spans="2:5" ht="14.65" thickBot="1" x14ac:dyDescent="0.5">
      <c r="B22" s="75" t="s">
        <v>106</v>
      </c>
      <c r="C22" s="76">
        <v>2863534</v>
      </c>
      <c r="D22" s="77">
        <v>40934208.412967391</v>
      </c>
      <c r="E22" s="78">
        <v>42661904.503055677</v>
      </c>
    </row>
    <row r="23" spans="2:5" ht="14.65" thickBot="1" x14ac:dyDescent="0.5">
      <c r="B23" s="75" t="s">
        <v>107</v>
      </c>
      <c r="C23" s="76">
        <v>4472654</v>
      </c>
      <c r="D23" s="77">
        <v>26334086.257021643</v>
      </c>
      <c r="E23" s="78">
        <v>28061782.347109932</v>
      </c>
    </row>
    <row r="24" spans="2:5" ht="14.65" thickBot="1" x14ac:dyDescent="0.5">
      <c r="B24" s="75" t="s">
        <v>107</v>
      </c>
      <c r="C24" s="76">
        <v>3707151</v>
      </c>
      <c r="D24" s="77">
        <v>16093163.392259775</v>
      </c>
      <c r="E24" s="78">
        <v>16093163.392259775</v>
      </c>
    </row>
    <row r="25" spans="2:5" ht="14.65" thickBot="1" x14ac:dyDescent="0.5">
      <c r="B25" s="75" t="s">
        <v>107</v>
      </c>
      <c r="C25" s="76">
        <v>6741598</v>
      </c>
      <c r="D25" s="77">
        <v>37977463.415748097</v>
      </c>
      <c r="E25" s="78">
        <v>44888257.278439216</v>
      </c>
    </row>
    <row r="26" spans="2:5" ht="14.65" thickBot="1" x14ac:dyDescent="0.5">
      <c r="B26" s="75" t="s">
        <v>107</v>
      </c>
      <c r="C26" s="76">
        <v>4725858</v>
      </c>
      <c r="D26" s="77">
        <v>31674408.098262362</v>
      </c>
      <c r="E26" s="78">
        <v>38585201.960953489</v>
      </c>
    </row>
    <row r="27" spans="2:5" ht="14.65" thickBot="1" x14ac:dyDescent="0.5">
      <c r="B27" s="75" t="s">
        <v>107</v>
      </c>
      <c r="C27" s="76">
        <v>2792499</v>
      </c>
      <c r="D27" s="77">
        <v>15736959.103336869</v>
      </c>
      <c r="E27" s="78">
        <v>15736959.103336869</v>
      </c>
    </row>
    <row r="28" spans="2:5" ht="14.65" thickBot="1" x14ac:dyDescent="0.5">
      <c r="B28" s="75" t="s">
        <v>108</v>
      </c>
      <c r="C28" s="76">
        <v>2157743</v>
      </c>
      <c r="D28" s="77">
        <v>62772472.076164894</v>
      </c>
      <c r="E28" s="78">
        <v>69683265.938856021</v>
      </c>
    </row>
    <row r="29" spans="2:5" ht="14.65" thickBot="1" x14ac:dyDescent="0.5">
      <c r="B29" s="75" t="s">
        <v>108</v>
      </c>
      <c r="C29" s="76">
        <v>1517997</v>
      </c>
      <c r="D29" s="77">
        <v>49861002.738168575</v>
      </c>
      <c r="E29" s="78">
        <v>53316394.918345138</v>
      </c>
    </row>
    <row r="30" spans="2:5" ht="14.65" thickBot="1" x14ac:dyDescent="0.5">
      <c r="B30" s="75" t="s">
        <v>108</v>
      </c>
      <c r="C30" s="76">
        <v>2983283</v>
      </c>
      <c r="D30" s="77">
        <v>55519591.272053912</v>
      </c>
      <c r="E30" s="78">
        <v>58974983.452230483</v>
      </c>
    </row>
    <row r="31" spans="2:5" ht="14.65" thickBot="1" x14ac:dyDescent="0.5">
      <c r="B31" s="75" t="s">
        <v>108</v>
      </c>
      <c r="C31" s="76">
        <v>952601</v>
      </c>
      <c r="D31" s="77">
        <v>8410790.9672977217</v>
      </c>
      <c r="E31" s="78">
        <v>8410790.9672977217</v>
      </c>
    </row>
    <row r="32" spans="2:5" ht="14.65" thickBot="1" x14ac:dyDescent="0.5">
      <c r="B32" s="75" t="s">
        <v>109</v>
      </c>
      <c r="C32" s="76">
        <v>3642244</v>
      </c>
      <c r="D32" s="77">
        <v>27255714.981782239</v>
      </c>
      <c r="E32" s="78">
        <v>30711107.161958802</v>
      </c>
    </row>
    <row r="33" spans="1:15" ht="14.65" thickBot="1" x14ac:dyDescent="0.5">
      <c r="B33" s="75" t="s">
        <v>109</v>
      </c>
      <c r="C33" s="76">
        <v>14507682</v>
      </c>
      <c r="D33" s="77">
        <v>47720084.055882089</v>
      </c>
      <c r="E33" s="78">
        <v>51175476.236058652</v>
      </c>
    </row>
    <row r="34" spans="1:15" ht="14.65" thickBot="1" x14ac:dyDescent="0.5">
      <c r="B34" s="75" t="s">
        <v>110</v>
      </c>
      <c r="C34" s="76">
        <v>1738399</v>
      </c>
      <c r="D34" s="77">
        <v>22803108.297253769</v>
      </c>
      <c r="E34" s="78">
        <v>26258500.477430329</v>
      </c>
    </row>
    <row r="35" spans="1:15" ht="14.65" thickBot="1" x14ac:dyDescent="0.5">
      <c r="B35" s="75" t="s">
        <v>110</v>
      </c>
      <c r="C35" s="76">
        <v>7380166</v>
      </c>
      <c r="D35" s="77">
        <v>94830698.689564124</v>
      </c>
      <c r="E35" s="78">
        <v>108652324.42429842</v>
      </c>
    </row>
    <row r="36" spans="1:15" ht="14.65" thickBot="1" x14ac:dyDescent="0.5">
      <c r="B36" s="75" t="s">
        <v>111</v>
      </c>
      <c r="C36" s="76">
        <v>1403481</v>
      </c>
      <c r="D36" s="77">
        <v>68125498.142833322</v>
      </c>
      <c r="E36" s="78">
        <v>78491693.688039035</v>
      </c>
    </row>
    <row r="37" spans="1:15" ht="14.65" thickBot="1" x14ac:dyDescent="0.5">
      <c r="B37" s="75" t="s">
        <v>111</v>
      </c>
      <c r="C37" s="76">
        <v>2068750</v>
      </c>
      <c r="D37" s="77">
        <v>94244211.902156651</v>
      </c>
      <c r="E37" s="78">
        <v>99427309.674759492</v>
      </c>
    </row>
    <row r="38" spans="1:15" ht="14.65" thickBot="1" x14ac:dyDescent="0.5">
      <c r="B38" s="75" t="s">
        <v>111</v>
      </c>
      <c r="C38" s="76">
        <v>1318288</v>
      </c>
      <c r="D38" s="77">
        <v>67631087.148166686</v>
      </c>
      <c r="E38" s="78">
        <v>72814184.920769557</v>
      </c>
    </row>
    <row r="39" spans="1:15" ht="14.65" thickBot="1" x14ac:dyDescent="0.5">
      <c r="B39" s="75" t="s">
        <v>112</v>
      </c>
      <c r="C39" s="76">
        <v>443685</v>
      </c>
      <c r="D39" s="77">
        <v>81931825.523899257</v>
      </c>
      <c r="E39" s="78">
        <v>94025736.163869232</v>
      </c>
    </row>
    <row r="40" spans="1:15" ht="14.65" thickBot="1" x14ac:dyDescent="0.5">
      <c r="B40" s="75" t="s">
        <v>112</v>
      </c>
      <c r="C40" s="76">
        <v>1082818</v>
      </c>
      <c r="D40" s="77">
        <v>99833751.17223604</v>
      </c>
      <c r="E40" s="78">
        <v>99833751.17223604</v>
      </c>
    </row>
    <row r="41" spans="1:15" ht="14.65" thickBot="1" x14ac:dyDescent="0.5">
      <c r="B41" s="75" t="s">
        <v>113</v>
      </c>
      <c r="C41" s="76">
        <v>715985</v>
      </c>
      <c r="D41" s="77">
        <v>94806473.540463567</v>
      </c>
      <c r="E41" s="78">
        <v>96534169.63055186</v>
      </c>
    </row>
    <row r="42" spans="1:15" ht="14.65" thickBot="1" x14ac:dyDescent="0.5">
      <c r="B42" s="75" t="s">
        <v>113</v>
      </c>
      <c r="C42" s="76">
        <v>1182620</v>
      </c>
      <c r="D42" s="77">
        <v>91431256.775805861</v>
      </c>
      <c r="E42" s="78">
        <v>96614354.548408702</v>
      </c>
    </row>
    <row r="43" spans="1:15" x14ac:dyDescent="0.45">
      <c r="B43" s="72"/>
      <c r="C43" s="73"/>
      <c r="D43" s="73"/>
      <c r="E43" s="74"/>
    </row>
    <row r="44" spans="1:15" s="37" customFormat="1" x14ac:dyDescent="0.45">
      <c r="A44" s="36" t="s">
        <v>443</v>
      </c>
    </row>
    <row r="46" spans="1:15" x14ac:dyDescent="0.45">
      <c r="A46" t="s">
        <v>77</v>
      </c>
      <c r="B46" t="s">
        <v>78</v>
      </c>
    </row>
    <row r="47" spans="1:15" x14ac:dyDescent="0.45">
      <c r="A47" t="s">
        <v>79</v>
      </c>
      <c r="B47" t="s">
        <v>80</v>
      </c>
      <c r="C47" t="s">
        <v>81</v>
      </c>
      <c r="D47" t="s">
        <v>82</v>
      </c>
      <c r="E47" t="s">
        <v>83</v>
      </c>
      <c r="F47" t="s">
        <v>84</v>
      </c>
      <c r="G47" t="s">
        <v>85</v>
      </c>
      <c r="H47" t="s">
        <v>86</v>
      </c>
      <c r="I47" t="s">
        <v>87</v>
      </c>
      <c r="J47" t="s">
        <v>88</v>
      </c>
      <c r="K47" t="s">
        <v>89</v>
      </c>
      <c r="L47" t="s">
        <v>90</v>
      </c>
      <c r="M47" t="s">
        <v>91</v>
      </c>
    </row>
    <row r="48" spans="1:15" x14ac:dyDescent="0.45">
      <c r="A48" s="13" t="s">
        <v>92</v>
      </c>
      <c r="C48">
        <v>0.370069179999859</v>
      </c>
      <c r="M48">
        <v>0.370069179999859</v>
      </c>
      <c r="O48" t="s">
        <v>93</v>
      </c>
    </row>
    <row r="49" spans="1:15" x14ac:dyDescent="0.45">
      <c r="A49" s="13" t="s">
        <v>94</v>
      </c>
      <c r="C49">
        <v>1.0251097248785701</v>
      </c>
      <c r="M49">
        <v>1.0251097248785701</v>
      </c>
      <c r="O49" s="14" t="s">
        <v>95</v>
      </c>
    </row>
    <row r="50" spans="1:15" x14ac:dyDescent="0.45">
      <c r="A50" s="13" t="s">
        <v>96</v>
      </c>
      <c r="B50">
        <v>1.72342488307199</v>
      </c>
      <c r="M50">
        <v>1.72342488307199</v>
      </c>
      <c r="O50" s="14" t="s">
        <v>97</v>
      </c>
    </row>
    <row r="51" spans="1:15" x14ac:dyDescent="0.45">
      <c r="A51" s="13" t="s">
        <v>98</v>
      </c>
      <c r="B51">
        <v>1.92008125340751</v>
      </c>
      <c r="M51">
        <v>1.92008125340751</v>
      </c>
    </row>
    <row r="52" spans="1:15" x14ac:dyDescent="0.45">
      <c r="A52" s="13" t="s">
        <v>99</v>
      </c>
      <c r="B52">
        <v>1.21800423207241</v>
      </c>
      <c r="M52">
        <v>1.21800423207241</v>
      </c>
    </row>
    <row r="53" spans="1:15" x14ac:dyDescent="0.45">
      <c r="A53" s="13" t="s">
        <v>100</v>
      </c>
      <c r="D53">
        <v>6.6800146545497503</v>
      </c>
      <c r="F53">
        <v>1.65671448927844</v>
      </c>
      <c r="H53">
        <v>0.40141765079809399</v>
      </c>
      <c r="M53">
        <v>8.7381467946262852</v>
      </c>
    </row>
    <row r="54" spans="1:15" x14ac:dyDescent="0.45">
      <c r="A54" s="13" t="s">
        <v>101</v>
      </c>
      <c r="D54">
        <v>0.105391413087829</v>
      </c>
      <c r="F54">
        <v>6.7843751590942203</v>
      </c>
      <c r="G54">
        <v>0.71543156901662996</v>
      </c>
      <c r="M54">
        <v>7.6051981411986791</v>
      </c>
    </row>
    <row r="55" spans="1:15" x14ac:dyDescent="0.45">
      <c r="A55" s="13" t="s">
        <v>102</v>
      </c>
      <c r="G55">
        <v>25.2123215697831</v>
      </c>
      <c r="M55">
        <v>25.2123215697831</v>
      </c>
    </row>
    <row r="56" spans="1:15" x14ac:dyDescent="0.45">
      <c r="A56" s="13" t="s">
        <v>103</v>
      </c>
      <c r="D56">
        <v>3.7038036301352899</v>
      </c>
      <c r="E56">
        <v>0.34271681538800097</v>
      </c>
      <c r="M56">
        <v>4.0465204455232913</v>
      </c>
    </row>
    <row r="57" spans="1:15" x14ac:dyDescent="0.45">
      <c r="A57" s="13" t="s">
        <v>104</v>
      </c>
      <c r="D57">
        <v>5.13182862113978E-2</v>
      </c>
      <c r="E57">
        <v>5.3191901298614201</v>
      </c>
      <c r="M57">
        <v>5.370508416072818</v>
      </c>
    </row>
    <row r="58" spans="1:15" x14ac:dyDescent="0.45">
      <c r="A58" s="13" t="s">
        <v>105</v>
      </c>
      <c r="D58">
        <v>0.65882607170371399</v>
      </c>
      <c r="E58">
        <v>2.4785373559024602</v>
      </c>
      <c r="F58">
        <v>2.9695606480714698</v>
      </c>
      <c r="H58">
        <v>3.95755741945836</v>
      </c>
      <c r="M58">
        <v>10.064481495136004</v>
      </c>
    </row>
    <row r="59" spans="1:15" x14ac:dyDescent="0.45">
      <c r="A59" s="13" t="s">
        <v>106</v>
      </c>
      <c r="K59">
        <v>1.1477743725017699</v>
      </c>
      <c r="M59">
        <v>1.1477743725017699</v>
      </c>
    </row>
    <row r="60" spans="1:15" x14ac:dyDescent="0.45">
      <c r="A60" s="13" t="s">
        <v>107</v>
      </c>
      <c r="K60">
        <v>6.8470180838078196</v>
      </c>
      <c r="M60">
        <v>6.8470180838078196</v>
      </c>
    </row>
    <row r="61" spans="1:15" x14ac:dyDescent="0.45">
      <c r="A61" s="13" t="s">
        <v>108</v>
      </c>
      <c r="K61">
        <v>2.0525317308944202</v>
      </c>
      <c r="L61">
        <v>3.3235310452476998</v>
      </c>
      <c r="M61">
        <v>5.3760627761421205</v>
      </c>
    </row>
    <row r="62" spans="1:15" x14ac:dyDescent="0.45">
      <c r="A62" s="13" t="s">
        <v>109</v>
      </c>
      <c r="L62">
        <v>2.0875865580447299</v>
      </c>
      <c r="M62">
        <v>2.0875865580447299</v>
      </c>
    </row>
    <row r="63" spans="1:15" x14ac:dyDescent="0.45">
      <c r="A63" s="13" t="s">
        <v>110</v>
      </c>
      <c r="K63">
        <v>4.7792637048011599</v>
      </c>
      <c r="L63">
        <v>0.52695151213566704</v>
      </c>
      <c r="M63">
        <v>5.3062152169368266</v>
      </c>
    </row>
    <row r="64" spans="1:15" x14ac:dyDescent="0.45">
      <c r="A64" s="13" t="s">
        <v>111</v>
      </c>
      <c r="J64">
        <v>3.4253805988847099</v>
      </c>
      <c r="K64">
        <v>8.4391449612186804</v>
      </c>
      <c r="M64">
        <v>11.86452556010339</v>
      </c>
    </row>
    <row r="65" spans="1:13" x14ac:dyDescent="0.45">
      <c r="A65" s="13" t="s">
        <v>112</v>
      </c>
      <c r="J65">
        <v>13.7825719976918</v>
      </c>
      <c r="M65">
        <v>13.7825719976918</v>
      </c>
    </row>
    <row r="66" spans="1:13" x14ac:dyDescent="0.45">
      <c r="A66" s="13" t="s">
        <v>113</v>
      </c>
      <c r="I66">
        <v>25.8649593425557</v>
      </c>
      <c r="J66">
        <v>7.1018600821419096</v>
      </c>
      <c r="M66">
        <v>32.966819424697611</v>
      </c>
    </row>
    <row r="67" spans="1:13" x14ac:dyDescent="0.45">
      <c r="A67" s="13" t="s">
        <v>91</v>
      </c>
      <c r="B67">
        <v>4.8615103685519099</v>
      </c>
      <c r="C67">
        <v>1.3951789048784291</v>
      </c>
      <c r="D67">
        <v>11.199354055687982</v>
      </c>
      <c r="E67">
        <v>8.1404443011518808</v>
      </c>
      <c r="F67">
        <v>11.41065029644413</v>
      </c>
      <c r="G67">
        <v>25.92775313879973</v>
      </c>
      <c r="H67">
        <v>4.358975070256454</v>
      </c>
      <c r="I67">
        <v>25.8649593425557</v>
      </c>
      <c r="J67">
        <v>24.309812678718423</v>
      </c>
      <c r="K67">
        <v>23.265732853223852</v>
      </c>
      <c r="L67">
        <v>5.9380691154280969</v>
      </c>
      <c r="M67">
        <v>146.6724401256966</v>
      </c>
    </row>
    <row r="71" spans="1:13" s="37" customFormat="1" x14ac:dyDescent="0.45">
      <c r="A71" s="36" t="s">
        <v>454</v>
      </c>
    </row>
    <row r="72" spans="1:13" x14ac:dyDescent="0.45">
      <c r="A72" t="s">
        <v>77</v>
      </c>
      <c r="B72" t="s">
        <v>78</v>
      </c>
    </row>
    <row r="73" spans="1:13" x14ac:dyDescent="0.45">
      <c r="A73" t="s">
        <v>79</v>
      </c>
      <c r="B73" t="s">
        <v>80</v>
      </c>
      <c r="C73" t="s">
        <v>81</v>
      </c>
      <c r="D73" t="s">
        <v>82</v>
      </c>
      <c r="E73" t="s">
        <v>83</v>
      </c>
      <c r="F73" t="s">
        <v>84</v>
      </c>
      <c r="G73" t="s">
        <v>85</v>
      </c>
      <c r="H73" t="s">
        <v>86</v>
      </c>
      <c r="I73" t="s">
        <v>87</v>
      </c>
      <c r="J73" t="s">
        <v>88</v>
      </c>
      <c r="K73" t="s">
        <v>89</v>
      </c>
      <c r="L73" t="s">
        <v>90</v>
      </c>
      <c r="M73" t="s">
        <v>91</v>
      </c>
    </row>
    <row r="74" spans="1:13" x14ac:dyDescent="0.45">
      <c r="A74" t="s">
        <v>92</v>
      </c>
      <c r="C74">
        <v>0.370069179999859</v>
      </c>
      <c r="M74">
        <v>0.370069179999859</v>
      </c>
    </row>
    <row r="75" spans="1:13" x14ac:dyDescent="0.45">
      <c r="A75" t="s">
        <v>94</v>
      </c>
      <c r="C75">
        <v>1.0251097248785701</v>
      </c>
      <c r="M75">
        <v>1.0251097248785701</v>
      </c>
    </row>
    <row r="76" spans="1:13" x14ac:dyDescent="0.45">
      <c r="A76" t="s">
        <v>96</v>
      </c>
      <c r="B76">
        <v>1.72342488307199</v>
      </c>
      <c r="M76">
        <v>1.72342488307199</v>
      </c>
    </row>
    <row r="77" spans="1:13" x14ac:dyDescent="0.45">
      <c r="A77" t="s">
        <v>98</v>
      </c>
      <c r="B77">
        <v>1.92008125340751</v>
      </c>
      <c r="M77">
        <v>1.92008125340751</v>
      </c>
    </row>
    <row r="78" spans="1:13" x14ac:dyDescent="0.45">
      <c r="A78" t="s">
        <v>99</v>
      </c>
      <c r="B78">
        <v>1.21800423207241</v>
      </c>
      <c r="M78">
        <v>1.21800423207241</v>
      </c>
    </row>
    <row r="79" spans="1:13" x14ac:dyDescent="0.45">
      <c r="A79" t="s">
        <v>100</v>
      </c>
      <c r="D79">
        <v>6.6800146545497503</v>
      </c>
      <c r="F79">
        <v>1.65671448927844</v>
      </c>
      <c r="H79">
        <v>0.40141765079809399</v>
      </c>
      <c r="M79">
        <v>8.7381467946262852</v>
      </c>
    </row>
    <row r="80" spans="1:13" x14ac:dyDescent="0.45">
      <c r="A80" t="s">
        <v>101</v>
      </c>
      <c r="D80">
        <v>0.105391413087829</v>
      </c>
      <c r="F80">
        <v>6.7843751590942203</v>
      </c>
      <c r="G80">
        <v>0.71543156901662996</v>
      </c>
      <c r="M80">
        <v>7.6051981411986791</v>
      </c>
    </row>
    <row r="81" spans="1:15" x14ac:dyDescent="0.45">
      <c r="A81" t="s">
        <v>102</v>
      </c>
      <c r="G81">
        <v>25.2123215697831</v>
      </c>
      <c r="M81">
        <v>25.2123215697831</v>
      </c>
    </row>
    <row r="82" spans="1:15" x14ac:dyDescent="0.45">
      <c r="A82" t="s">
        <v>103</v>
      </c>
      <c r="D82">
        <v>3.7038036301352899</v>
      </c>
      <c r="E82">
        <v>0.34271681538800097</v>
      </c>
      <c r="M82">
        <v>4.0465204455232913</v>
      </c>
    </row>
    <row r="83" spans="1:15" x14ac:dyDescent="0.45">
      <c r="A83" t="s">
        <v>104</v>
      </c>
      <c r="D83">
        <v>5.13182862113978E-2</v>
      </c>
      <c r="E83">
        <v>5.3191901298614201</v>
      </c>
      <c r="M83">
        <v>5.370508416072818</v>
      </c>
    </row>
    <row r="84" spans="1:15" x14ac:dyDescent="0.45">
      <c r="A84" t="s">
        <v>105</v>
      </c>
      <c r="D84">
        <v>0.65882607170371399</v>
      </c>
      <c r="E84">
        <v>2.4785373559024602</v>
      </c>
      <c r="F84">
        <v>2.9695606480714698</v>
      </c>
      <c r="H84">
        <v>3.95755741945836</v>
      </c>
      <c r="M84">
        <v>10.064481495136004</v>
      </c>
    </row>
    <row r="85" spans="1:15" x14ac:dyDescent="0.45">
      <c r="A85" t="s">
        <v>106</v>
      </c>
      <c r="K85">
        <v>1.1477743725017699</v>
      </c>
      <c r="M85">
        <v>1.1477743725017699</v>
      </c>
    </row>
    <row r="86" spans="1:15" x14ac:dyDescent="0.45">
      <c r="A86" t="s">
        <v>107</v>
      </c>
      <c r="K86">
        <v>6.8470180838078196</v>
      </c>
      <c r="M86">
        <v>6.8470180838078196</v>
      </c>
    </row>
    <row r="87" spans="1:15" x14ac:dyDescent="0.45">
      <c r="A87" t="s">
        <v>108</v>
      </c>
      <c r="K87">
        <v>2.0525317308944202</v>
      </c>
      <c r="L87">
        <v>3.3235310452476998</v>
      </c>
      <c r="M87">
        <v>5.3760627761421205</v>
      </c>
    </row>
    <row r="88" spans="1:15" x14ac:dyDescent="0.45">
      <c r="A88" t="s">
        <v>109</v>
      </c>
      <c r="L88">
        <v>2.0875865580447299</v>
      </c>
      <c r="M88">
        <v>2.0875865580447299</v>
      </c>
    </row>
    <row r="89" spans="1:15" x14ac:dyDescent="0.45">
      <c r="A89" t="s">
        <v>110</v>
      </c>
      <c r="K89">
        <v>4.7792637048011599</v>
      </c>
      <c r="L89">
        <v>0.52695151213566704</v>
      </c>
      <c r="M89">
        <v>5.3062152169368266</v>
      </c>
    </row>
    <row r="90" spans="1:15" x14ac:dyDescent="0.45">
      <c r="A90" t="s">
        <v>111</v>
      </c>
      <c r="J90">
        <v>3.4253805988847099</v>
      </c>
      <c r="K90">
        <v>8.4391449612186804</v>
      </c>
      <c r="M90">
        <v>11.86452556010339</v>
      </c>
    </row>
    <row r="91" spans="1:15" x14ac:dyDescent="0.45">
      <c r="A91" t="s">
        <v>112</v>
      </c>
      <c r="J91">
        <v>13.7825719976918</v>
      </c>
      <c r="M91">
        <v>13.7825719976918</v>
      </c>
    </row>
    <row r="92" spans="1:15" x14ac:dyDescent="0.45">
      <c r="A92" t="s">
        <v>113</v>
      </c>
      <c r="I92">
        <v>25.8649593425557</v>
      </c>
      <c r="J92">
        <v>7.1018600821419096</v>
      </c>
      <c r="M92">
        <v>32.966819424697611</v>
      </c>
    </row>
    <row r="93" spans="1:15" x14ac:dyDescent="0.45">
      <c r="A93" t="s">
        <v>91</v>
      </c>
      <c r="B93">
        <v>4.8615103685519099</v>
      </c>
      <c r="C93">
        <v>1.3951789048784291</v>
      </c>
      <c r="D93">
        <v>11.199354055687982</v>
      </c>
      <c r="E93">
        <v>8.1404443011518808</v>
      </c>
      <c r="F93">
        <v>11.41065029644413</v>
      </c>
      <c r="G93">
        <v>25.92775313879973</v>
      </c>
      <c r="H93">
        <v>4.358975070256454</v>
      </c>
      <c r="I93">
        <v>25.8649593425557</v>
      </c>
      <c r="J93">
        <v>24.309812678718423</v>
      </c>
      <c r="K93">
        <v>23.265732853223852</v>
      </c>
      <c r="L93">
        <v>5.9380691154280969</v>
      </c>
      <c r="M93">
        <v>146.6724401256966</v>
      </c>
    </row>
    <row r="95" spans="1:15" s="37" customFormat="1" x14ac:dyDescent="0.45">
      <c r="A95" s="36" t="s">
        <v>455</v>
      </c>
    </row>
    <row r="96" spans="1:15" x14ac:dyDescent="0.45">
      <c r="B96" t="s">
        <v>80</v>
      </c>
      <c r="C96" t="s">
        <v>81</v>
      </c>
      <c r="D96" t="s">
        <v>82</v>
      </c>
      <c r="E96" t="s">
        <v>83</v>
      </c>
      <c r="F96" t="s">
        <v>84</v>
      </c>
      <c r="G96" t="s">
        <v>85</v>
      </c>
      <c r="H96" t="s">
        <v>86</v>
      </c>
      <c r="I96" t="s">
        <v>87</v>
      </c>
      <c r="J96" t="s">
        <v>88</v>
      </c>
      <c r="K96" t="s">
        <v>89</v>
      </c>
      <c r="L96" t="s">
        <v>90</v>
      </c>
      <c r="M96" t="s">
        <v>447</v>
      </c>
      <c r="O96" t="s">
        <v>449</v>
      </c>
    </row>
    <row r="97" spans="1:23" x14ac:dyDescent="0.45">
      <c r="A97" t="s">
        <v>92</v>
      </c>
      <c r="B97">
        <f>$M97*B74/$M74</f>
        <v>0</v>
      </c>
      <c r="C97">
        <f>$M97*C74/$M74</f>
        <v>636880</v>
      </c>
      <c r="D97">
        <f t="shared" ref="D97:L97" si="0">$M97*D74/$M74</f>
        <v>0</v>
      </c>
      <c r="E97">
        <f t="shared" si="0"/>
        <v>0</v>
      </c>
      <c r="F97">
        <f t="shared" si="0"/>
        <v>0</v>
      </c>
      <c r="G97">
        <f t="shared" si="0"/>
        <v>0</v>
      </c>
      <c r="H97">
        <f t="shared" si="0"/>
        <v>0</v>
      </c>
      <c r="I97">
        <f t="shared" si="0"/>
        <v>0</v>
      </c>
      <c r="J97">
        <f t="shared" si="0"/>
        <v>0</v>
      </c>
      <c r="K97">
        <f t="shared" si="0"/>
        <v>0</v>
      </c>
      <c r="L97">
        <f t="shared" si="0"/>
        <v>0</v>
      </c>
      <c r="M97" s="2">
        <f>O97/3.6</f>
        <v>636880</v>
      </c>
      <c r="O97" s="2">
        <f>SUM(C11:C14)</f>
        <v>2292768</v>
      </c>
    </row>
    <row r="98" spans="1:23" x14ac:dyDescent="0.45">
      <c r="A98" t="s">
        <v>94</v>
      </c>
      <c r="B98">
        <f t="shared" ref="B98:L113" si="1">$M98*B75/$M75</f>
        <v>0</v>
      </c>
      <c r="C98">
        <f>$M98*C75/$M75</f>
        <v>1794820.8333333333</v>
      </c>
      <c r="D98">
        <f t="shared" si="1"/>
        <v>0</v>
      </c>
      <c r="E98">
        <f t="shared" si="1"/>
        <v>0</v>
      </c>
      <c r="F98">
        <f t="shared" si="1"/>
        <v>0</v>
      </c>
      <c r="G98">
        <f t="shared" si="1"/>
        <v>0</v>
      </c>
      <c r="H98">
        <f t="shared" si="1"/>
        <v>0</v>
      </c>
      <c r="I98">
        <f t="shared" si="1"/>
        <v>0</v>
      </c>
      <c r="J98">
        <f t="shared" si="1"/>
        <v>0</v>
      </c>
      <c r="K98">
        <f t="shared" si="1"/>
        <v>0</v>
      </c>
      <c r="L98">
        <f t="shared" si="1"/>
        <v>0</v>
      </c>
      <c r="M98" s="2">
        <f t="shared" ref="M98:M115" si="2">O98/3.6</f>
        <v>1794820.8333333333</v>
      </c>
      <c r="O98" s="2">
        <f>SUM(C15:C16)</f>
        <v>6461355</v>
      </c>
    </row>
    <row r="99" spans="1:23" x14ac:dyDescent="0.45">
      <c r="A99" t="s">
        <v>96</v>
      </c>
      <c r="B99">
        <f>$M99*B76/$M76</f>
        <v>2884295.5555555555</v>
      </c>
      <c r="C99">
        <f t="shared" si="1"/>
        <v>0</v>
      </c>
      <c r="D99">
        <f t="shared" si="1"/>
        <v>0</v>
      </c>
      <c r="E99">
        <f t="shared" si="1"/>
        <v>0</v>
      </c>
      <c r="F99">
        <f t="shared" si="1"/>
        <v>0</v>
      </c>
      <c r="G99">
        <f t="shared" si="1"/>
        <v>0</v>
      </c>
      <c r="H99">
        <f t="shared" si="1"/>
        <v>0</v>
      </c>
      <c r="I99">
        <f t="shared" si="1"/>
        <v>0</v>
      </c>
      <c r="J99">
        <f t="shared" si="1"/>
        <v>0</v>
      </c>
      <c r="K99">
        <f t="shared" si="1"/>
        <v>0</v>
      </c>
      <c r="L99">
        <f t="shared" si="1"/>
        <v>0</v>
      </c>
      <c r="M99" s="2">
        <f t="shared" si="2"/>
        <v>2884295.5555555555</v>
      </c>
      <c r="O99" s="2">
        <f>SUM(C17:C18)</f>
        <v>10383464</v>
      </c>
    </row>
    <row r="100" spans="1:23" x14ac:dyDescent="0.45">
      <c r="A100" t="s">
        <v>98</v>
      </c>
      <c r="B100">
        <f t="shared" si="1"/>
        <v>3087933.0555555555</v>
      </c>
      <c r="C100">
        <f t="shared" si="1"/>
        <v>0</v>
      </c>
      <c r="D100">
        <f t="shared" si="1"/>
        <v>0</v>
      </c>
      <c r="E100">
        <f t="shared" si="1"/>
        <v>0</v>
      </c>
      <c r="F100">
        <f t="shared" si="1"/>
        <v>0</v>
      </c>
      <c r="G100">
        <f t="shared" si="1"/>
        <v>0</v>
      </c>
      <c r="H100">
        <f t="shared" si="1"/>
        <v>0</v>
      </c>
      <c r="I100">
        <f t="shared" si="1"/>
        <v>0</v>
      </c>
      <c r="J100">
        <f t="shared" si="1"/>
        <v>0</v>
      </c>
      <c r="K100">
        <f t="shared" si="1"/>
        <v>0</v>
      </c>
      <c r="L100">
        <f t="shared" si="1"/>
        <v>0</v>
      </c>
      <c r="M100" s="2">
        <f t="shared" si="2"/>
        <v>3087933.0555555555</v>
      </c>
      <c r="O100" s="2">
        <f>SUM(C19:C20)</f>
        <v>11116559</v>
      </c>
    </row>
    <row r="101" spans="1:23" x14ac:dyDescent="0.45">
      <c r="A101" t="s">
        <v>99</v>
      </c>
      <c r="B101">
        <f t="shared" si="1"/>
        <v>1859165.5555555555</v>
      </c>
      <c r="C101">
        <f t="shared" si="1"/>
        <v>0</v>
      </c>
      <c r="D101">
        <f t="shared" si="1"/>
        <v>0</v>
      </c>
      <c r="E101">
        <f t="shared" si="1"/>
        <v>0</v>
      </c>
      <c r="F101">
        <f t="shared" si="1"/>
        <v>0</v>
      </c>
      <c r="G101">
        <f t="shared" si="1"/>
        <v>0</v>
      </c>
      <c r="H101">
        <f t="shared" si="1"/>
        <v>0</v>
      </c>
      <c r="I101">
        <f t="shared" si="1"/>
        <v>0</v>
      </c>
      <c r="J101">
        <f t="shared" si="1"/>
        <v>0</v>
      </c>
      <c r="K101">
        <f t="shared" si="1"/>
        <v>0</v>
      </c>
      <c r="L101">
        <f t="shared" si="1"/>
        <v>0</v>
      </c>
      <c r="M101" s="2">
        <f t="shared" si="2"/>
        <v>1859165.5555555555</v>
      </c>
      <c r="O101" s="2">
        <f>SUM(C21)</f>
        <v>6692996</v>
      </c>
    </row>
    <row r="102" spans="1:23" x14ac:dyDescent="0.45">
      <c r="A102" t="s">
        <v>100</v>
      </c>
      <c r="B102">
        <f t="shared" si="1"/>
        <v>0</v>
      </c>
      <c r="C102">
        <f t="shared" si="1"/>
        <v>0</v>
      </c>
      <c r="D102">
        <f t="shared" si="1"/>
        <v>0</v>
      </c>
      <c r="E102">
        <f t="shared" si="1"/>
        <v>0</v>
      </c>
      <c r="F102">
        <f t="shared" si="1"/>
        <v>0</v>
      </c>
      <c r="G102">
        <f t="shared" si="1"/>
        <v>0</v>
      </c>
      <c r="H102">
        <f t="shared" si="1"/>
        <v>0</v>
      </c>
      <c r="I102">
        <f t="shared" si="1"/>
        <v>0</v>
      </c>
      <c r="J102">
        <f t="shared" si="1"/>
        <v>0</v>
      </c>
      <c r="K102">
        <f t="shared" si="1"/>
        <v>0</v>
      </c>
      <c r="L102">
        <f t="shared" si="1"/>
        <v>0</v>
      </c>
      <c r="M102" s="2">
        <f t="shared" si="2"/>
        <v>0</v>
      </c>
      <c r="O102" s="2"/>
    </row>
    <row r="103" spans="1:23" x14ac:dyDescent="0.45">
      <c r="A103" t="s">
        <v>101</v>
      </c>
      <c r="B103">
        <f t="shared" si="1"/>
        <v>0</v>
      </c>
      <c r="C103">
        <f t="shared" si="1"/>
        <v>0</v>
      </c>
      <c r="D103">
        <f t="shared" si="1"/>
        <v>0</v>
      </c>
      <c r="E103">
        <f t="shared" si="1"/>
        <v>0</v>
      </c>
      <c r="F103">
        <f t="shared" si="1"/>
        <v>0</v>
      </c>
      <c r="G103">
        <f t="shared" si="1"/>
        <v>0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</v>
      </c>
      <c r="L103">
        <f t="shared" si="1"/>
        <v>0</v>
      </c>
      <c r="M103" s="2">
        <f t="shared" si="2"/>
        <v>0</v>
      </c>
      <c r="O103" s="2"/>
    </row>
    <row r="104" spans="1:23" x14ac:dyDescent="0.45">
      <c r="A104" t="s">
        <v>102</v>
      </c>
      <c r="B104">
        <f t="shared" si="1"/>
        <v>0</v>
      </c>
      <c r="C104">
        <f t="shared" si="1"/>
        <v>0</v>
      </c>
      <c r="D104">
        <f t="shared" si="1"/>
        <v>0</v>
      </c>
      <c r="E104">
        <f t="shared" si="1"/>
        <v>0</v>
      </c>
      <c r="F104">
        <f t="shared" si="1"/>
        <v>0</v>
      </c>
      <c r="G104">
        <f t="shared" si="1"/>
        <v>0</v>
      </c>
      <c r="H104">
        <f t="shared" si="1"/>
        <v>0</v>
      </c>
      <c r="I104">
        <f t="shared" si="1"/>
        <v>0</v>
      </c>
      <c r="J104">
        <f t="shared" si="1"/>
        <v>0</v>
      </c>
      <c r="K104">
        <f t="shared" si="1"/>
        <v>0</v>
      </c>
      <c r="L104">
        <f t="shared" si="1"/>
        <v>0</v>
      </c>
      <c r="M104" s="2">
        <f t="shared" si="2"/>
        <v>0</v>
      </c>
      <c r="O104" s="2"/>
    </row>
    <row r="105" spans="1:23" x14ac:dyDescent="0.45">
      <c r="A105" t="s">
        <v>103</v>
      </c>
      <c r="B105">
        <f t="shared" si="1"/>
        <v>0</v>
      </c>
      <c r="C105">
        <f t="shared" si="1"/>
        <v>0</v>
      </c>
      <c r="D105">
        <f t="shared" si="1"/>
        <v>0</v>
      </c>
      <c r="E105">
        <f t="shared" si="1"/>
        <v>0</v>
      </c>
      <c r="F105">
        <f t="shared" si="1"/>
        <v>0</v>
      </c>
      <c r="G105">
        <f t="shared" si="1"/>
        <v>0</v>
      </c>
      <c r="H105">
        <f t="shared" si="1"/>
        <v>0</v>
      </c>
      <c r="I105">
        <f t="shared" si="1"/>
        <v>0</v>
      </c>
      <c r="J105">
        <f t="shared" si="1"/>
        <v>0</v>
      </c>
      <c r="K105">
        <f t="shared" si="1"/>
        <v>0</v>
      </c>
      <c r="L105">
        <f t="shared" si="1"/>
        <v>0</v>
      </c>
      <c r="M105" s="2">
        <f t="shared" si="2"/>
        <v>0</v>
      </c>
      <c r="O105" s="2"/>
      <c r="R105" s="3"/>
      <c r="S105" s="3"/>
      <c r="T105" s="3"/>
      <c r="U105" s="3"/>
      <c r="V105" s="3"/>
      <c r="W105" s="3"/>
    </row>
    <row r="106" spans="1:23" x14ac:dyDescent="0.45">
      <c r="A106" t="s">
        <v>104</v>
      </c>
      <c r="B106">
        <f t="shared" si="1"/>
        <v>0</v>
      </c>
      <c r="C106">
        <f t="shared" si="1"/>
        <v>0</v>
      </c>
      <c r="D106">
        <f t="shared" si="1"/>
        <v>0</v>
      </c>
      <c r="E106">
        <f t="shared" si="1"/>
        <v>0</v>
      </c>
      <c r="F106">
        <f t="shared" si="1"/>
        <v>0</v>
      </c>
      <c r="G106">
        <f t="shared" si="1"/>
        <v>0</v>
      </c>
      <c r="H106">
        <f t="shared" si="1"/>
        <v>0</v>
      </c>
      <c r="I106">
        <f t="shared" si="1"/>
        <v>0</v>
      </c>
      <c r="J106">
        <f t="shared" si="1"/>
        <v>0</v>
      </c>
      <c r="K106">
        <f t="shared" si="1"/>
        <v>0</v>
      </c>
      <c r="L106">
        <f t="shared" si="1"/>
        <v>0</v>
      </c>
      <c r="M106" s="2">
        <f t="shared" si="2"/>
        <v>0</v>
      </c>
      <c r="O106" s="2"/>
    </row>
    <row r="107" spans="1:23" x14ac:dyDescent="0.45">
      <c r="A107" t="s">
        <v>105</v>
      </c>
      <c r="B107">
        <f t="shared" si="1"/>
        <v>0</v>
      </c>
      <c r="C107">
        <f t="shared" si="1"/>
        <v>0</v>
      </c>
      <c r="D107">
        <f t="shared" si="1"/>
        <v>0</v>
      </c>
      <c r="E107">
        <f t="shared" si="1"/>
        <v>0</v>
      </c>
      <c r="F107">
        <f t="shared" si="1"/>
        <v>0</v>
      </c>
      <c r="G107">
        <f t="shared" si="1"/>
        <v>0</v>
      </c>
      <c r="H107">
        <f t="shared" si="1"/>
        <v>0</v>
      </c>
      <c r="I107">
        <f t="shared" si="1"/>
        <v>0</v>
      </c>
      <c r="J107">
        <f t="shared" si="1"/>
        <v>0</v>
      </c>
      <c r="K107">
        <f t="shared" si="1"/>
        <v>0</v>
      </c>
      <c r="L107">
        <f t="shared" si="1"/>
        <v>0</v>
      </c>
      <c r="M107" s="2">
        <f t="shared" si="2"/>
        <v>0</v>
      </c>
      <c r="O107" s="2"/>
    </row>
    <row r="108" spans="1:23" x14ac:dyDescent="0.45">
      <c r="A108" t="s">
        <v>106</v>
      </c>
      <c r="B108">
        <f t="shared" si="1"/>
        <v>0</v>
      </c>
      <c r="C108">
        <f t="shared" si="1"/>
        <v>0</v>
      </c>
      <c r="D108">
        <f t="shared" si="1"/>
        <v>0</v>
      </c>
      <c r="E108">
        <f t="shared" si="1"/>
        <v>0</v>
      </c>
      <c r="F108">
        <f t="shared" si="1"/>
        <v>0</v>
      </c>
      <c r="G108">
        <f t="shared" si="1"/>
        <v>0</v>
      </c>
      <c r="H108">
        <f t="shared" si="1"/>
        <v>0</v>
      </c>
      <c r="I108">
        <f t="shared" si="1"/>
        <v>0</v>
      </c>
      <c r="J108">
        <f t="shared" si="1"/>
        <v>0</v>
      </c>
      <c r="K108">
        <f t="shared" si="1"/>
        <v>795426.11111111112</v>
      </c>
      <c r="L108">
        <f t="shared" si="1"/>
        <v>0</v>
      </c>
      <c r="M108" s="2">
        <f t="shared" si="2"/>
        <v>795426.11111111112</v>
      </c>
      <c r="O108" s="2">
        <f>SUM(C22)</f>
        <v>2863534</v>
      </c>
    </row>
    <row r="109" spans="1:23" x14ac:dyDescent="0.45">
      <c r="A109" t="s">
        <v>107</v>
      </c>
      <c r="B109">
        <f t="shared" si="1"/>
        <v>0</v>
      </c>
      <c r="C109">
        <f t="shared" si="1"/>
        <v>0</v>
      </c>
      <c r="D109">
        <f t="shared" si="1"/>
        <v>0</v>
      </c>
      <c r="E109">
        <f t="shared" si="1"/>
        <v>0</v>
      </c>
      <c r="F109">
        <f t="shared" si="1"/>
        <v>0</v>
      </c>
      <c r="G109">
        <f t="shared" si="1"/>
        <v>0</v>
      </c>
      <c r="H109">
        <f t="shared" si="1"/>
        <v>0</v>
      </c>
      <c r="I109">
        <f t="shared" si="1"/>
        <v>0</v>
      </c>
      <c r="J109">
        <f t="shared" si="1"/>
        <v>0</v>
      </c>
      <c r="K109">
        <f t="shared" si="1"/>
        <v>6233266.666666667</v>
      </c>
      <c r="L109">
        <f t="shared" si="1"/>
        <v>0</v>
      </c>
      <c r="M109" s="2">
        <f t="shared" si="2"/>
        <v>6233266.666666667</v>
      </c>
      <c r="O109" s="2">
        <f>SUM(C23:C27)</f>
        <v>22439760</v>
      </c>
    </row>
    <row r="110" spans="1:23" x14ac:dyDescent="0.45">
      <c r="A110" t="s">
        <v>108</v>
      </c>
      <c r="B110">
        <f t="shared" si="1"/>
        <v>0</v>
      </c>
      <c r="C110">
        <f t="shared" si="1"/>
        <v>0</v>
      </c>
      <c r="D110">
        <f t="shared" si="1"/>
        <v>0</v>
      </c>
      <c r="E110">
        <f t="shared" si="1"/>
        <v>0</v>
      </c>
      <c r="F110">
        <f t="shared" si="1"/>
        <v>0</v>
      </c>
      <c r="G110">
        <f t="shared" si="1"/>
        <v>0</v>
      </c>
      <c r="H110">
        <f t="shared" si="1"/>
        <v>0</v>
      </c>
      <c r="I110">
        <f t="shared" si="1"/>
        <v>0</v>
      </c>
      <c r="J110">
        <f t="shared" si="1"/>
        <v>0</v>
      </c>
      <c r="K110">
        <f t="shared" si="1"/>
        <v>807235.72633084597</v>
      </c>
      <c r="L110">
        <f t="shared" si="1"/>
        <v>1307104.2736691539</v>
      </c>
      <c r="M110" s="2">
        <f t="shared" si="2"/>
        <v>2114340</v>
      </c>
      <c r="O110" s="2">
        <f>SUM(C28:C31)</f>
        <v>7611624</v>
      </c>
    </row>
    <row r="111" spans="1:23" x14ac:dyDescent="0.45">
      <c r="A111" t="s">
        <v>109</v>
      </c>
      <c r="B111">
        <f t="shared" si="1"/>
        <v>0</v>
      </c>
      <c r="C111">
        <f t="shared" si="1"/>
        <v>0</v>
      </c>
      <c r="D111">
        <f t="shared" si="1"/>
        <v>0</v>
      </c>
      <c r="E111">
        <f t="shared" si="1"/>
        <v>0</v>
      </c>
      <c r="F111">
        <f t="shared" si="1"/>
        <v>0</v>
      </c>
      <c r="G111">
        <f t="shared" si="1"/>
        <v>0</v>
      </c>
      <c r="H111">
        <f t="shared" si="1"/>
        <v>0</v>
      </c>
      <c r="I111">
        <f t="shared" si="1"/>
        <v>0</v>
      </c>
      <c r="J111">
        <f t="shared" si="1"/>
        <v>0</v>
      </c>
      <c r="K111">
        <f t="shared" si="1"/>
        <v>0</v>
      </c>
      <c r="L111">
        <f t="shared" si="1"/>
        <v>5041646.111111111</v>
      </c>
      <c r="M111" s="2">
        <f t="shared" si="2"/>
        <v>5041646.111111111</v>
      </c>
      <c r="O111" s="2">
        <f>SUM(C32:C33)</f>
        <v>18149926</v>
      </c>
    </row>
    <row r="112" spans="1:23" x14ac:dyDescent="0.45">
      <c r="A112" t="s">
        <v>110</v>
      </c>
      <c r="B112">
        <f t="shared" si="1"/>
        <v>0</v>
      </c>
      <c r="C112">
        <f t="shared" si="1"/>
        <v>0</v>
      </c>
      <c r="D112">
        <f t="shared" si="1"/>
        <v>0</v>
      </c>
      <c r="E112">
        <f t="shared" si="1"/>
        <v>0</v>
      </c>
      <c r="F112">
        <f t="shared" si="1"/>
        <v>0</v>
      </c>
      <c r="G112">
        <f t="shared" si="1"/>
        <v>0</v>
      </c>
      <c r="H112">
        <f t="shared" si="1"/>
        <v>0</v>
      </c>
      <c r="I112">
        <f t="shared" si="1"/>
        <v>0</v>
      </c>
      <c r="J112">
        <f t="shared" si="1"/>
        <v>0</v>
      </c>
      <c r="K112">
        <f t="shared" si="1"/>
        <v>2281393.1379767098</v>
      </c>
      <c r="L112">
        <f t="shared" si="1"/>
        <v>251541.58424551261</v>
      </c>
      <c r="M112" s="2">
        <f t="shared" si="2"/>
        <v>2532934.722222222</v>
      </c>
      <c r="O112" s="2">
        <f>SUM(C34:C35)</f>
        <v>9118565</v>
      </c>
    </row>
    <row r="113" spans="1:15" x14ac:dyDescent="0.45">
      <c r="A113" t="s">
        <v>111</v>
      </c>
      <c r="B113">
        <f t="shared" si="1"/>
        <v>0</v>
      </c>
      <c r="C113">
        <f t="shared" si="1"/>
        <v>0</v>
      </c>
      <c r="D113">
        <f t="shared" si="1"/>
        <v>0</v>
      </c>
      <c r="E113">
        <f t="shared" si="1"/>
        <v>0</v>
      </c>
      <c r="F113">
        <f t="shared" si="1"/>
        <v>0</v>
      </c>
      <c r="G113">
        <f t="shared" si="1"/>
        <v>0</v>
      </c>
      <c r="H113">
        <f t="shared" si="1"/>
        <v>0</v>
      </c>
      <c r="I113">
        <f t="shared" si="1"/>
        <v>0</v>
      </c>
      <c r="J113">
        <f t="shared" si="1"/>
        <v>384183.33614357794</v>
      </c>
      <c r="K113">
        <f t="shared" si="1"/>
        <v>946516.38607864443</v>
      </c>
      <c r="L113">
        <f t="shared" si="1"/>
        <v>0</v>
      </c>
      <c r="M113" s="2">
        <f t="shared" si="2"/>
        <v>1330699.7222222222</v>
      </c>
      <c r="O113" s="2">
        <f>SUM(C36:C38)</f>
        <v>4790519</v>
      </c>
    </row>
    <row r="114" spans="1:15" x14ac:dyDescent="0.45">
      <c r="A114" t="s">
        <v>112</v>
      </c>
      <c r="B114">
        <f t="shared" ref="B114:L115" si="3">$M114*B91/$M91</f>
        <v>0</v>
      </c>
      <c r="C114">
        <f t="shared" si="3"/>
        <v>0</v>
      </c>
      <c r="D114">
        <f t="shared" si="3"/>
        <v>0</v>
      </c>
      <c r="E114">
        <f t="shared" si="3"/>
        <v>0</v>
      </c>
      <c r="F114">
        <f t="shared" si="3"/>
        <v>0</v>
      </c>
      <c r="G114">
        <f t="shared" si="3"/>
        <v>0</v>
      </c>
      <c r="H114">
        <f t="shared" si="3"/>
        <v>0</v>
      </c>
      <c r="I114">
        <f t="shared" si="3"/>
        <v>0</v>
      </c>
      <c r="J114">
        <f t="shared" si="3"/>
        <v>424028.61111111112</v>
      </c>
      <c r="K114">
        <f t="shared" si="3"/>
        <v>0</v>
      </c>
      <c r="L114">
        <f t="shared" si="3"/>
        <v>0</v>
      </c>
      <c r="M114" s="2">
        <f t="shared" si="2"/>
        <v>424028.61111111112</v>
      </c>
      <c r="O114" s="2">
        <f>SUM(C39:C40)</f>
        <v>1526503</v>
      </c>
    </row>
    <row r="115" spans="1:15" x14ac:dyDescent="0.45">
      <c r="A115" t="s">
        <v>113</v>
      </c>
      <c r="B115">
        <f t="shared" si="3"/>
        <v>0</v>
      </c>
      <c r="C115">
        <f t="shared" si="3"/>
        <v>0</v>
      </c>
      <c r="D115">
        <f t="shared" si="3"/>
        <v>0</v>
      </c>
      <c r="E115">
        <f t="shared" si="3"/>
        <v>0</v>
      </c>
      <c r="F115">
        <f t="shared" si="3"/>
        <v>0</v>
      </c>
      <c r="G115">
        <f t="shared" si="3"/>
        <v>0</v>
      </c>
      <c r="H115">
        <f t="shared" si="3"/>
        <v>0</v>
      </c>
      <c r="I115">
        <f t="shared" si="3"/>
        <v>413777.49902564345</v>
      </c>
      <c r="J115">
        <f t="shared" si="3"/>
        <v>113612.7787521343</v>
      </c>
      <c r="K115">
        <f t="shared" si="3"/>
        <v>0</v>
      </c>
      <c r="L115">
        <f t="shared" si="3"/>
        <v>0</v>
      </c>
      <c r="M115" s="2">
        <f t="shared" si="2"/>
        <v>527390.27777777775</v>
      </c>
      <c r="O115" s="2">
        <f>SUM(C41:C42)</f>
        <v>1898605</v>
      </c>
    </row>
    <row r="116" spans="1:15" x14ac:dyDescent="0.45">
      <c r="A116" t="s">
        <v>448</v>
      </c>
      <c r="B116" s="2">
        <f>SUM(B97:B115)</f>
        <v>7831394.166666666</v>
      </c>
      <c r="C116" s="2">
        <f t="shared" ref="C116:L116" si="4">SUM(C97:C115)</f>
        <v>2431700.833333333</v>
      </c>
      <c r="D116" s="2">
        <f t="shared" si="4"/>
        <v>0</v>
      </c>
      <c r="E116" s="2">
        <f t="shared" si="4"/>
        <v>0</v>
      </c>
      <c r="F116" s="2">
        <f t="shared" si="4"/>
        <v>0</v>
      </c>
      <c r="G116" s="2">
        <f t="shared" si="4"/>
        <v>0</v>
      </c>
      <c r="H116" s="2">
        <f t="shared" si="4"/>
        <v>0</v>
      </c>
      <c r="I116" s="2">
        <f t="shared" si="4"/>
        <v>413777.49902564345</v>
      </c>
      <c r="J116" s="2">
        <f t="shared" si="4"/>
        <v>921824.72600682336</v>
      </c>
      <c r="K116" s="2">
        <f t="shared" si="4"/>
        <v>11063838.028163977</v>
      </c>
      <c r="L116" s="2">
        <f t="shared" si="4"/>
        <v>6600291.9690257777</v>
      </c>
      <c r="M116" s="2">
        <f>SUM(B116:L116)</f>
        <v>29262827.222222216</v>
      </c>
    </row>
    <row r="117" spans="1:15" x14ac:dyDescent="0.45">
      <c r="A117" t="s">
        <v>452</v>
      </c>
      <c r="B117" s="3">
        <f>B116/SUM(B116:C116)</f>
        <v>0.76306359501365484</v>
      </c>
      <c r="C117" s="3">
        <f>C116/SUM(B116:C116)</f>
        <v>0.23693640498634505</v>
      </c>
      <c r="D117" s="3"/>
      <c r="E117" s="3"/>
      <c r="F117" s="3"/>
      <c r="G117" s="3"/>
      <c r="H117" s="3"/>
      <c r="I117" s="3">
        <f>I116/SUM($I$116:$L$116)</f>
        <v>2.177807003730749E-2</v>
      </c>
      <c r="J117" s="3">
        <f t="shared" ref="J117:L117" si="5">J116/SUM($I$116:$L$116)</f>
        <v>4.8517774630984035E-2</v>
      </c>
      <c r="K117" s="3">
        <f t="shared" si="5"/>
        <v>0.58231547154246899</v>
      </c>
      <c r="L117" s="3">
        <f t="shared" si="5"/>
        <v>0.34738868378923932</v>
      </c>
    </row>
    <row r="121" spans="1:15" s="37" customFormat="1" x14ac:dyDescent="0.45">
      <c r="A121" s="36" t="s">
        <v>456</v>
      </c>
    </row>
    <row r="122" spans="1:15" x14ac:dyDescent="0.45">
      <c r="B122" t="s">
        <v>80</v>
      </c>
      <c r="C122" t="s">
        <v>81</v>
      </c>
      <c r="D122" t="s">
        <v>82</v>
      </c>
      <c r="E122" t="s">
        <v>83</v>
      </c>
      <c r="F122" t="s">
        <v>84</v>
      </c>
      <c r="G122" t="s">
        <v>85</v>
      </c>
      <c r="H122" t="s">
        <v>86</v>
      </c>
      <c r="I122" t="s">
        <v>87</v>
      </c>
      <c r="J122" t="s">
        <v>88</v>
      </c>
      <c r="K122" t="s">
        <v>89</v>
      </c>
      <c r="L122" t="s">
        <v>90</v>
      </c>
      <c r="M122" t="s">
        <v>450</v>
      </c>
      <c r="O122" t="s">
        <v>451</v>
      </c>
    </row>
    <row r="123" spans="1:15" x14ac:dyDescent="0.45">
      <c r="A123" t="s">
        <v>92</v>
      </c>
      <c r="B123">
        <f>$M123*B74/$M74</f>
        <v>0</v>
      </c>
      <c r="C123">
        <f>$M123*C74/$M74</f>
        <v>1098186.8993513989</v>
      </c>
      <c r="D123">
        <f t="shared" ref="D123:L123" si="6">$M123*D74/$M74</f>
        <v>0</v>
      </c>
      <c r="E123">
        <f t="shared" si="6"/>
        <v>0</v>
      </c>
      <c r="F123">
        <f t="shared" si="6"/>
        <v>0</v>
      </c>
      <c r="G123">
        <f t="shared" si="6"/>
        <v>0</v>
      </c>
      <c r="H123">
        <f t="shared" si="6"/>
        <v>0</v>
      </c>
      <c r="I123">
        <f t="shared" si="6"/>
        <v>0</v>
      </c>
      <c r="J123">
        <f t="shared" si="6"/>
        <v>0</v>
      </c>
      <c r="K123">
        <f t="shared" si="6"/>
        <v>0</v>
      </c>
      <c r="L123">
        <f t="shared" si="6"/>
        <v>0</v>
      </c>
      <c r="M123" s="2">
        <f>O123/3.6</f>
        <v>1098186.8993513989</v>
      </c>
      <c r="O123" s="2">
        <f>SUM(D11:D14)</f>
        <v>3953472.8376650363</v>
      </c>
    </row>
    <row r="124" spans="1:15" x14ac:dyDescent="0.45">
      <c r="A124" t="s">
        <v>94</v>
      </c>
      <c r="B124">
        <f t="shared" ref="B124:L124" si="7">$M124*B75/$M75</f>
        <v>0</v>
      </c>
      <c r="C124">
        <f t="shared" si="7"/>
        <v>2269305.9162720377</v>
      </c>
      <c r="D124">
        <f t="shared" si="7"/>
        <v>0</v>
      </c>
      <c r="E124">
        <f t="shared" si="7"/>
        <v>0</v>
      </c>
      <c r="F124">
        <f t="shared" si="7"/>
        <v>0</v>
      </c>
      <c r="G124">
        <f t="shared" si="7"/>
        <v>0</v>
      </c>
      <c r="H124">
        <f t="shared" si="7"/>
        <v>0</v>
      </c>
      <c r="I124">
        <f t="shared" si="7"/>
        <v>0</v>
      </c>
      <c r="J124">
        <f t="shared" si="7"/>
        <v>0</v>
      </c>
      <c r="K124">
        <f t="shared" si="7"/>
        <v>0</v>
      </c>
      <c r="L124">
        <f t="shared" si="7"/>
        <v>0</v>
      </c>
      <c r="M124" s="2">
        <f t="shared" ref="M124:M141" si="8">O124/3.6</f>
        <v>2269305.9162720377</v>
      </c>
      <c r="O124" s="2">
        <f>SUM(D15:D16)</f>
        <v>8169501.2985793352</v>
      </c>
    </row>
    <row r="125" spans="1:15" x14ac:dyDescent="0.45">
      <c r="A125" t="s">
        <v>96</v>
      </c>
      <c r="B125">
        <f t="shared" ref="B125:L125" si="9">$M125*B76/$M76</f>
        <v>2933187.4923749045</v>
      </c>
      <c r="C125">
        <f t="shared" si="9"/>
        <v>0</v>
      </c>
      <c r="D125">
        <f t="shared" si="9"/>
        <v>0</v>
      </c>
      <c r="E125">
        <f t="shared" si="9"/>
        <v>0</v>
      </c>
      <c r="F125">
        <f t="shared" si="9"/>
        <v>0</v>
      </c>
      <c r="G125">
        <f t="shared" si="9"/>
        <v>0</v>
      </c>
      <c r="H125">
        <f t="shared" si="9"/>
        <v>0</v>
      </c>
      <c r="I125">
        <f t="shared" si="9"/>
        <v>0</v>
      </c>
      <c r="J125">
        <f t="shared" si="9"/>
        <v>0</v>
      </c>
      <c r="K125">
        <f t="shared" si="9"/>
        <v>0</v>
      </c>
      <c r="L125">
        <f t="shared" si="9"/>
        <v>0</v>
      </c>
      <c r="M125" s="2">
        <f t="shared" si="8"/>
        <v>2933187.4923749045</v>
      </c>
      <c r="O125" s="2">
        <f>SUM(D17:D18)</f>
        <v>10559474.972549656</v>
      </c>
    </row>
    <row r="126" spans="1:15" x14ac:dyDescent="0.45">
      <c r="A126" t="s">
        <v>98</v>
      </c>
      <c r="B126">
        <f t="shared" ref="B126:L126" si="10">$M126*B77/$M77</f>
        <v>3591987.3845432494</v>
      </c>
      <c r="C126">
        <f t="shared" si="10"/>
        <v>0</v>
      </c>
      <c r="D126">
        <f t="shared" si="10"/>
        <v>0</v>
      </c>
      <c r="E126">
        <f t="shared" si="10"/>
        <v>0</v>
      </c>
      <c r="F126">
        <f t="shared" si="10"/>
        <v>0</v>
      </c>
      <c r="G126">
        <f t="shared" si="10"/>
        <v>0</v>
      </c>
      <c r="H126">
        <f t="shared" si="10"/>
        <v>0</v>
      </c>
      <c r="I126">
        <f t="shared" si="10"/>
        <v>0</v>
      </c>
      <c r="J126">
        <f t="shared" si="10"/>
        <v>0</v>
      </c>
      <c r="K126">
        <f t="shared" si="10"/>
        <v>0</v>
      </c>
      <c r="L126">
        <f t="shared" si="10"/>
        <v>0</v>
      </c>
      <c r="M126" s="2">
        <f t="shared" si="8"/>
        <v>3591987.3845432494</v>
      </c>
      <c r="O126" s="2">
        <f>SUM(D19:D20)</f>
        <v>12931154.584355699</v>
      </c>
    </row>
    <row r="127" spans="1:15" x14ac:dyDescent="0.45">
      <c r="A127" t="s">
        <v>99</v>
      </c>
      <c r="B127">
        <f t="shared" ref="B127:L127" si="11">$M127*B78/$M78</f>
        <v>1684980.0251038445</v>
      </c>
      <c r="C127">
        <f t="shared" si="11"/>
        <v>0</v>
      </c>
      <c r="D127">
        <f t="shared" si="11"/>
        <v>0</v>
      </c>
      <c r="E127">
        <f t="shared" si="11"/>
        <v>0</v>
      </c>
      <c r="F127">
        <f t="shared" si="11"/>
        <v>0</v>
      </c>
      <c r="G127">
        <f t="shared" si="11"/>
        <v>0</v>
      </c>
      <c r="H127">
        <f t="shared" si="11"/>
        <v>0</v>
      </c>
      <c r="I127">
        <f t="shared" si="11"/>
        <v>0</v>
      </c>
      <c r="J127">
        <f t="shared" si="11"/>
        <v>0</v>
      </c>
      <c r="K127">
        <f t="shared" si="11"/>
        <v>0</v>
      </c>
      <c r="L127">
        <f t="shared" si="11"/>
        <v>0</v>
      </c>
      <c r="M127" s="2">
        <f t="shared" si="8"/>
        <v>1684980.0251038445</v>
      </c>
      <c r="O127" s="2">
        <f>SUM(D21)</f>
        <v>6065928.0903738402</v>
      </c>
    </row>
    <row r="128" spans="1:15" x14ac:dyDescent="0.45">
      <c r="A128" t="s">
        <v>100</v>
      </c>
      <c r="B128">
        <f t="shared" ref="B128:L128" si="12">$M128*B79/$M79</f>
        <v>0</v>
      </c>
      <c r="C128">
        <f t="shared" si="12"/>
        <v>0</v>
      </c>
      <c r="D128">
        <f t="shared" si="12"/>
        <v>0</v>
      </c>
      <c r="E128">
        <f t="shared" si="12"/>
        <v>0</v>
      </c>
      <c r="F128">
        <f t="shared" si="12"/>
        <v>0</v>
      </c>
      <c r="G128">
        <f t="shared" si="12"/>
        <v>0</v>
      </c>
      <c r="H128">
        <f t="shared" si="12"/>
        <v>0</v>
      </c>
      <c r="I128">
        <f t="shared" si="12"/>
        <v>0</v>
      </c>
      <c r="J128">
        <f t="shared" si="12"/>
        <v>0</v>
      </c>
      <c r="K128">
        <f t="shared" si="12"/>
        <v>0</v>
      </c>
      <c r="L128">
        <f t="shared" si="12"/>
        <v>0</v>
      </c>
      <c r="M128" s="2">
        <f t="shared" si="8"/>
        <v>0</v>
      </c>
      <c r="O128" s="2"/>
    </row>
    <row r="129" spans="1:15" x14ac:dyDescent="0.45">
      <c r="A129" t="s">
        <v>101</v>
      </c>
      <c r="B129">
        <f t="shared" ref="B129:L129" si="13">$M129*B80/$M80</f>
        <v>0</v>
      </c>
      <c r="C129">
        <f t="shared" si="13"/>
        <v>0</v>
      </c>
      <c r="D129">
        <f t="shared" si="13"/>
        <v>0</v>
      </c>
      <c r="E129">
        <f t="shared" si="13"/>
        <v>0</v>
      </c>
      <c r="F129">
        <f t="shared" si="13"/>
        <v>0</v>
      </c>
      <c r="G129">
        <f t="shared" si="13"/>
        <v>0</v>
      </c>
      <c r="H129">
        <f t="shared" si="13"/>
        <v>0</v>
      </c>
      <c r="I129">
        <f t="shared" si="13"/>
        <v>0</v>
      </c>
      <c r="J129">
        <f t="shared" si="13"/>
        <v>0</v>
      </c>
      <c r="K129">
        <f t="shared" si="13"/>
        <v>0</v>
      </c>
      <c r="L129">
        <f t="shared" si="13"/>
        <v>0</v>
      </c>
      <c r="M129" s="2">
        <f t="shared" si="8"/>
        <v>0</v>
      </c>
      <c r="O129" s="2"/>
    </row>
    <row r="130" spans="1:15" x14ac:dyDescent="0.45">
      <c r="A130" t="s">
        <v>102</v>
      </c>
      <c r="B130">
        <f t="shared" ref="B130:L130" si="14">$M130*B81/$M81</f>
        <v>0</v>
      </c>
      <c r="C130">
        <f t="shared" si="14"/>
        <v>0</v>
      </c>
      <c r="D130">
        <f t="shared" si="14"/>
        <v>0</v>
      </c>
      <c r="E130">
        <f t="shared" si="14"/>
        <v>0</v>
      </c>
      <c r="F130">
        <f t="shared" si="14"/>
        <v>0</v>
      </c>
      <c r="G130">
        <f t="shared" si="14"/>
        <v>0</v>
      </c>
      <c r="H130">
        <f t="shared" si="14"/>
        <v>0</v>
      </c>
      <c r="I130">
        <f t="shared" si="14"/>
        <v>0</v>
      </c>
      <c r="J130">
        <f t="shared" si="14"/>
        <v>0</v>
      </c>
      <c r="K130">
        <f t="shared" si="14"/>
        <v>0</v>
      </c>
      <c r="L130">
        <f t="shared" si="14"/>
        <v>0</v>
      </c>
      <c r="M130" s="2">
        <f t="shared" si="8"/>
        <v>0</v>
      </c>
      <c r="O130" s="2"/>
    </row>
    <row r="131" spans="1:15" x14ac:dyDescent="0.45">
      <c r="A131" t="s">
        <v>103</v>
      </c>
      <c r="B131">
        <f t="shared" ref="B131:L131" si="15">$M131*B82/$M82</f>
        <v>0</v>
      </c>
      <c r="C131">
        <f t="shared" si="15"/>
        <v>0</v>
      </c>
      <c r="D131">
        <f t="shared" si="15"/>
        <v>0</v>
      </c>
      <c r="E131">
        <f t="shared" si="15"/>
        <v>0</v>
      </c>
      <c r="F131">
        <f t="shared" si="15"/>
        <v>0</v>
      </c>
      <c r="G131">
        <f t="shared" si="15"/>
        <v>0</v>
      </c>
      <c r="H131">
        <f t="shared" si="15"/>
        <v>0</v>
      </c>
      <c r="I131">
        <f t="shared" si="15"/>
        <v>0</v>
      </c>
      <c r="J131">
        <f t="shared" si="15"/>
        <v>0</v>
      </c>
      <c r="K131">
        <f t="shared" si="15"/>
        <v>0</v>
      </c>
      <c r="L131">
        <f t="shared" si="15"/>
        <v>0</v>
      </c>
      <c r="M131" s="2">
        <f t="shared" si="8"/>
        <v>0</v>
      </c>
      <c r="O131" s="2"/>
    </row>
    <row r="132" spans="1:15" x14ac:dyDescent="0.45">
      <c r="A132" t="s">
        <v>104</v>
      </c>
      <c r="B132">
        <f t="shared" ref="B132:L132" si="16">$M132*B83/$M83</f>
        <v>0</v>
      </c>
      <c r="C132">
        <f t="shared" si="16"/>
        <v>0</v>
      </c>
      <c r="D132">
        <f t="shared" si="16"/>
        <v>0</v>
      </c>
      <c r="E132">
        <f t="shared" si="16"/>
        <v>0</v>
      </c>
      <c r="F132">
        <f t="shared" si="16"/>
        <v>0</v>
      </c>
      <c r="G132">
        <f t="shared" si="16"/>
        <v>0</v>
      </c>
      <c r="H132">
        <f t="shared" si="16"/>
        <v>0</v>
      </c>
      <c r="I132">
        <f t="shared" si="16"/>
        <v>0</v>
      </c>
      <c r="J132">
        <f t="shared" si="16"/>
        <v>0</v>
      </c>
      <c r="K132">
        <f t="shared" si="16"/>
        <v>0</v>
      </c>
      <c r="L132">
        <f t="shared" si="16"/>
        <v>0</v>
      </c>
      <c r="M132" s="2">
        <f t="shared" si="8"/>
        <v>0</v>
      </c>
      <c r="O132" s="2"/>
    </row>
    <row r="133" spans="1:15" x14ac:dyDescent="0.45">
      <c r="A133" t="s">
        <v>105</v>
      </c>
      <c r="B133">
        <f t="shared" ref="B133:L133" si="17">$M133*B84/$M84</f>
        <v>0</v>
      </c>
      <c r="C133">
        <f t="shared" si="17"/>
        <v>0</v>
      </c>
      <c r="D133">
        <f t="shared" si="17"/>
        <v>0</v>
      </c>
      <c r="E133">
        <f t="shared" si="17"/>
        <v>0</v>
      </c>
      <c r="F133">
        <f t="shared" si="17"/>
        <v>0</v>
      </c>
      <c r="G133">
        <f t="shared" si="17"/>
        <v>0</v>
      </c>
      <c r="H133">
        <f t="shared" si="17"/>
        <v>0</v>
      </c>
      <c r="I133">
        <f t="shared" si="17"/>
        <v>0</v>
      </c>
      <c r="J133">
        <f t="shared" si="17"/>
        <v>0</v>
      </c>
      <c r="K133">
        <f t="shared" si="17"/>
        <v>0</v>
      </c>
      <c r="L133">
        <f t="shared" si="17"/>
        <v>0</v>
      </c>
      <c r="M133" s="2">
        <f t="shared" si="8"/>
        <v>0</v>
      </c>
      <c r="O133" s="2"/>
    </row>
    <row r="134" spans="1:15" x14ac:dyDescent="0.45">
      <c r="A134" t="s">
        <v>106</v>
      </c>
      <c r="B134">
        <f t="shared" ref="B134:L134" si="18">$M134*B85/$M85</f>
        <v>0</v>
      </c>
      <c r="C134">
        <f t="shared" si="18"/>
        <v>0</v>
      </c>
      <c r="D134">
        <f t="shared" si="18"/>
        <v>0</v>
      </c>
      <c r="E134">
        <f t="shared" si="18"/>
        <v>0</v>
      </c>
      <c r="F134">
        <f t="shared" si="18"/>
        <v>0</v>
      </c>
      <c r="G134">
        <f t="shared" si="18"/>
        <v>0</v>
      </c>
      <c r="H134">
        <f t="shared" si="18"/>
        <v>0</v>
      </c>
      <c r="I134">
        <f t="shared" si="18"/>
        <v>0</v>
      </c>
      <c r="J134">
        <f t="shared" si="18"/>
        <v>0</v>
      </c>
      <c r="K134">
        <f t="shared" si="18"/>
        <v>11370613.448046498</v>
      </c>
      <c r="L134">
        <f t="shared" si="18"/>
        <v>0</v>
      </c>
      <c r="M134" s="2">
        <f t="shared" si="8"/>
        <v>11370613.448046498</v>
      </c>
      <c r="O134" s="2">
        <f>SUM(D22)</f>
        <v>40934208.412967391</v>
      </c>
    </row>
    <row r="135" spans="1:15" x14ac:dyDescent="0.45">
      <c r="A135" t="s">
        <v>107</v>
      </c>
      <c r="B135">
        <f t="shared" ref="B135:L135" si="19">$M135*B86/$M86</f>
        <v>0</v>
      </c>
      <c r="C135">
        <f t="shared" si="19"/>
        <v>0</v>
      </c>
      <c r="D135">
        <f t="shared" si="19"/>
        <v>0</v>
      </c>
      <c r="E135">
        <f t="shared" si="19"/>
        <v>0</v>
      </c>
      <c r="F135">
        <f t="shared" si="19"/>
        <v>0</v>
      </c>
      <c r="G135">
        <f t="shared" si="19"/>
        <v>0</v>
      </c>
      <c r="H135">
        <f t="shared" si="19"/>
        <v>0</v>
      </c>
      <c r="I135">
        <f t="shared" si="19"/>
        <v>0</v>
      </c>
      <c r="J135">
        <f t="shared" si="19"/>
        <v>0</v>
      </c>
      <c r="K135">
        <f t="shared" si="19"/>
        <v>35504466.740730204</v>
      </c>
      <c r="L135">
        <f t="shared" si="19"/>
        <v>0</v>
      </c>
      <c r="M135" s="2">
        <f t="shared" si="8"/>
        <v>35504466.740730204</v>
      </c>
      <c r="O135" s="2">
        <f>SUM(D23:D27)</f>
        <v>127816080.26662874</v>
      </c>
    </row>
    <row r="136" spans="1:15" x14ac:dyDescent="0.45">
      <c r="A136" t="s">
        <v>108</v>
      </c>
      <c r="B136">
        <f t="shared" ref="B136:L136" si="20">$M136*B87/$M87</f>
        <v>0</v>
      </c>
      <c r="C136">
        <f t="shared" si="20"/>
        <v>0</v>
      </c>
      <c r="D136">
        <f t="shared" si="20"/>
        <v>0</v>
      </c>
      <c r="E136">
        <f t="shared" si="20"/>
        <v>0</v>
      </c>
      <c r="F136">
        <f t="shared" si="20"/>
        <v>0</v>
      </c>
      <c r="G136">
        <f t="shared" si="20"/>
        <v>0</v>
      </c>
      <c r="H136">
        <f t="shared" si="20"/>
        <v>0</v>
      </c>
      <c r="I136">
        <f t="shared" si="20"/>
        <v>0</v>
      </c>
      <c r="J136">
        <f t="shared" si="20"/>
        <v>0</v>
      </c>
      <c r="K136">
        <f t="shared" si="20"/>
        <v>18725130.588755719</v>
      </c>
      <c r="L136">
        <f t="shared" si="20"/>
        <v>30320385.259490144</v>
      </c>
      <c r="M136" s="2">
        <f t="shared" si="8"/>
        <v>49045515.848245867</v>
      </c>
      <c r="O136" s="2">
        <f>SUM(D28:D31)</f>
        <v>176563857.05368513</v>
      </c>
    </row>
    <row r="137" spans="1:15" x14ac:dyDescent="0.45">
      <c r="A137" t="s">
        <v>109</v>
      </c>
      <c r="B137">
        <f t="shared" ref="B137:L137" si="21">$M137*B88/$M88</f>
        <v>0</v>
      </c>
      <c r="C137">
        <f t="shared" si="21"/>
        <v>0</v>
      </c>
      <c r="D137">
        <f t="shared" si="21"/>
        <v>0</v>
      </c>
      <c r="E137">
        <f t="shared" si="21"/>
        <v>0</v>
      </c>
      <c r="F137">
        <f t="shared" si="21"/>
        <v>0</v>
      </c>
      <c r="G137">
        <f t="shared" si="21"/>
        <v>0</v>
      </c>
      <c r="H137">
        <f t="shared" si="21"/>
        <v>0</v>
      </c>
      <c r="I137">
        <f t="shared" si="21"/>
        <v>0</v>
      </c>
      <c r="J137">
        <f t="shared" si="21"/>
        <v>0</v>
      </c>
      <c r="K137">
        <f t="shared" si="21"/>
        <v>0</v>
      </c>
      <c r="L137">
        <f t="shared" si="21"/>
        <v>20826610.843795646</v>
      </c>
      <c r="M137" s="2">
        <f t="shared" si="8"/>
        <v>20826610.843795646</v>
      </c>
      <c r="O137" s="2">
        <f>SUM(D32:D33)</f>
        <v>74975799.037664324</v>
      </c>
    </row>
    <row r="138" spans="1:15" x14ac:dyDescent="0.45">
      <c r="A138" t="s">
        <v>110</v>
      </c>
      <c r="B138">
        <f t="shared" ref="B138:L138" si="22">$M138*B89/$M89</f>
        <v>0</v>
      </c>
      <c r="C138">
        <f t="shared" si="22"/>
        <v>0</v>
      </c>
      <c r="D138">
        <f t="shared" si="22"/>
        <v>0</v>
      </c>
      <c r="E138">
        <f t="shared" si="22"/>
        <v>0</v>
      </c>
      <c r="F138">
        <f t="shared" si="22"/>
        <v>0</v>
      </c>
      <c r="G138">
        <f t="shared" si="22"/>
        <v>0</v>
      </c>
      <c r="H138">
        <f t="shared" si="22"/>
        <v>0</v>
      </c>
      <c r="I138">
        <f t="shared" si="22"/>
        <v>0</v>
      </c>
      <c r="J138">
        <f t="shared" si="22"/>
        <v>0</v>
      </c>
      <c r="K138">
        <f t="shared" si="22"/>
        <v>29431051.931285579</v>
      </c>
      <c r="L138">
        <f t="shared" si="22"/>
        <v>3245005.5650527272</v>
      </c>
      <c r="M138" s="2">
        <f t="shared" si="8"/>
        <v>32676057.496338304</v>
      </c>
      <c r="O138" s="2">
        <f>SUM(D34:D35)</f>
        <v>117633806.9868179</v>
      </c>
    </row>
    <row r="139" spans="1:15" x14ac:dyDescent="0.45">
      <c r="A139" t="s">
        <v>111</v>
      </c>
      <c r="B139">
        <f t="shared" ref="B139:L139" si="23">$M139*B90/$M90</f>
        <v>0</v>
      </c>
      <c r="C139">
        <f t="shared" si="23"/>
        <v>0</v>
      </c>
      <c r="D139">
        <f t="shared" si="23"/>
        <v>0</v>
      </c>
      <c r="E139">
        <f t="shared" si="23"/>
        <v>0</v>
      </c>
      <c r="F139">
        <f t="shared" si="23"/>
        <v>0</v>
      </c>
      <c r="G139">
        <f t="shared" si="23"/>
        <v>0</v>
      </c>
      <c r="H139">
        <f t="shared" si="23"/>
        <v>0</v>
      </c>
      <c r="I139">
        <f t="shared" si="23"/>
        <v>0</v>
      </c>
      <c r="J139">
        <f t="shared" si="23"/>
        <v>18445281.93737451</v>
      </c>
      <c r="K139">
        <f t="shared" si="23"/>
        <v>45443828.3940579</v>
      </c>
      <c r="L139">
        <f t="shared" si="23"/>
        <v>0</v>
      </c>
      <c r="M139" s="2">
        <f t="shared" si="8"/>
        <v>63889110.331432402</v>
      </c>
      <c r="O139" s="2">
        <f>SUM(D36:D38)</f>
        <v>230000797.19315666</v>
      </c>
    </row>
    <row r="140" spans="1:15" x14ac:dyDescent="0.45">
      <c r="A140" t="s">
        <v>112</v>
      </c>
      <c r="B140">
        <f t="shared" ref="B140:L140" si="24">$M140*B91/$M91</f>
        <v>0</v>
      </c>
      <c r="C140">
        <f t="shared" si="24"/>
        <v>0</v>
      </c>
      <c r="D140">
        <f t="shared" si="24"/>
        <v>0</v>
      </c>
      <c r="E140">
        <f t="shared" si="24"/>
        <v>0</v>
      </c>
      <c r="F140">
        <f t="shared" si="24"/>
        <v>0</v>
      </c>
      <c r="G140">
        <f t="shared" si="24"/>
        <v>0</v>
      </c>
      <c r="H140">
        <f t="shared" si="24"/>
        <v>0</v>
      </c>
      <c r="I140">
        <f t="shared" si="24"/>
        <v>0</v>
      </c>
      <c r="J140">
        <f t="shared" si="24"/>
        <v>50490437.971148685</v>
      </c>
      <c r="K140">
        <f t="shared" si="24"/>
        <v>0</v>
      </c>
      <c r="L140">
        <f t="shared" si="24"/>
        <v>0</v>
      </c>
      <c r="M140" s="2">
        <f t="shared" si="8"/>
        <v>50490437.971148685</v>
      </c>
      <c r="O140" s="2">
        <f>SUM(D39:D40)</f>
        <v>181765576.69613528</v>
      </c>
    </row>
    <row r="141" spans="1:15" x14ac:dyDescent="0.45">
      <c r="A141" t="s">
        <v>113</v>
      </c>
      <c r="B141">
        <f t="shared" ref="B141:L141" si="25">$M141*B92/$M92</f>
        <v>0</v>
      </c>
      <c r="C141">
        <f t="shared" si="25"/>
        <v>0</v>
      </c>
      <c r="D141">
        <f t="shared" si="25"/>
        <v>0</v>
      </c>
      <c r="E141">
        <f t="shared" si="25"/>
        <v>0</v>
      </c>
      <c r="F141">
        <f t="shared" si="25"/>
        <v>0</v>
      </c>
      <c r="G141">
        <f t="shared" si="25"/>
        <v>0</v>
      </c>
      <c r="H141">
        <f t="shared" si="25"/>
        <v>0</v>
      </c>
      <c r="I141">
        <f t="shared" si="25"/>
        <v>40588212.015916012</v>
      </c>
      <c r="J141">
        <f t="shared" si="25"/>
        <v>11144490.849714383</v>
      </c>
      <c r="K141">
        <f t="shared" si="25"/>
        <v>0</v>
      </c>
      <c r="L141">
        <f t="shared" si="25"/>
        <v>0</v>
      </c>
      <c r="M141" s="2">
        <f t="shared" si="8"/>
        <v>51732702.865630396</v>
      </c>
      <c r="O141" s="2">
        <f>SUM(D41:D42)</f>
        <v>186237730.31626943</v>
      </c>
    </row>
    <row r="142" spans="1:15" x14ac:dyDescent="0.45">
      <c r="A142" t="s">
        <v>453</v>
      </c>
      <c r="B142" s="2">
        <f>SUM(B123:B141)</f>
        <v>8210154.9020219985</v>
      </c>
      <c r="C142" s="2">
        <f t="shared" ref="C142:L142" si="26">SUM(C123:C141)</f>
        <v>3367492.8156234366</v>
      </c>
      <c r="D142" s="2">
        <f t="shared" si="26"/>
        <v>0</v>
      </c>
      <c r="E142" s="2">
        <f t="shared" si="26"/>
        <v>0</v>
      </c>
      <c r="F142" s="2">
        <f t="shared" si="26"/>
        <v>0</v>
      </c>
      <c r="G142" s="2">
        <f t="shared" si="26"/>
        <v>0</v>
      </c>
      <c r="H142" s="2">
        <f t="shared" si="26"/>
        <v>0</v>
      </c>
      <c r="I142" s="2">
        <f t="shared" si="26"/>
        <v>40588212.015916012</v>
      </c>
      <c r="J142" s="2">
        <f t="shared" si="26"/>
        <v>80080210.758237585</v>
      </c>
      <c r="K142" s="2">
        <f t="shared" si="26"/>
        <v>140475091.10287589</v>
      </c>
      <c r="L142" s="2">
        <f t="shared" si="26"/>
        <v>54392001.668338515</v>
      </c>
      <c r="M142" s="2">
        <f>SUM(B142:L142)</f>
        <v>327113163.26301348</v>
      </c>
    </row>
    <row r="143" spans="1:15" x14ac:dyDescent="0.45">
      <c r="A143" t="s">
        <v>452</v>
      </c>
      <c r="B143" s="3">
        <f>B142/SUM(B142:C142)</f>
        <v>0.70913842796485704</v>
      </c>
      <c r="C143" s="3">
        <f>C142/SUM(B142:C142)</f>
        <v>0.29086157203514301</v>
      </c>
      <c r="D143" s="3"/>
      <c r="E143" s="3"/>
      <c r="F143" s="3"/>
      <c r="G143" s="3"/>
      <c r="H143" s="3"/>
      <c r="I143" s="3">
        <f>I142/SUM($I$142:$L$142)</f>
        <v>0.12863278463523767</v>
      </c>
      <c r="J143" s="3">
        <f t="shared" ref="J143:L143" si="27">J142/SUM($I$142:$L$142)</f>
        <v>0.25379143333462117</v>
      </c>
      <c r="K143" s="3">
        <f t="shared" si="27"/>
        <v>0.44519581531125058</v>
      </c>
      <c r="L143" s="3">
        <f t="shared" si="27"/>
        <v>0.17237996671889055</v>
      </c>
    </row>
    <row r="146" spans="1:15" s="37" customFormat="1" x14ac:dyDescent="0.45">
      <c r="A146" s="36" t="s">
        <v>539</v>
      </c>
    </row>
    <row r="147" spans="1:15" x14ac:dyDescent="0.45">
      <c r="B147" t="s">
        <v>80</v>
      </c>
      <c r="C147" t="s">
        <v>81</v>
      </c>
      <c r="D147" t="s">
        <v>82</v>
      </c>
      <c r="E147" t="s">
        <v>83</v>
      </c>
      <c r="F147" t="s">
        <v>84</v>
      </c>
      <c r="G147" t="s">
        <v>85</v>
      </c>
      <c r="H147" t="s">
        <v>86</v>
      </c>
      <c r="I147" t="s">
        <v>87</v>
      </c>
      <c r="J147" t="s">
        <v>88</v>
      </c>
      <c r="K147" t="s">
        <v>89</v>
      </c>
      <c r="L147" t="s">
        <v>90</v>
      </c>
      <c r="M147" t="s">
        <v>450</v>
      </c>
      <c r="O147" t="s">
        <v>451</v>
      </c>
    </row>
    <row r="148" spans="1:15" x14ac:dyDescent="0.45">
      <c r="A148" t="s">
        <v>92</v>
      </c>
      <c r="B148">
        <f>$M148*B74/$M74</f>
        <v>0</v>
      </c>
      <c r="C148">
        <f t="shared" ref="C148:L148" si="28">$M148*C74/$M74</f>
        <v>1098186.8993513989</v>
      </c>
      <c r="D148">
        <f t="shared" si="28"/>
        <v>0</v>
      </c>
      <c r="E148">
        <f t="shared" si="28"/>
        <v>0</v>
      </c>
      <c r="F148">
        <f t="shared" si="28"/>
        <v>0</v>
      </c>
      <c r="G148">
        <f t="shared" si="28"/>
        <v>0</v>
      </c>
      <c r="H148">
        <f t="shared" si="28"/>
        <v>0</v>
      </c>
      <c r="I148">
        <f t="shared" si="28"/>
        <v>0</v>
      </c>
      <c r="J148">
        <f t="shared" si="28"/>
        <v>0</v>
      </c>
      <c r="K148">
        <f t="shared" si="28"/>
        <v>0</v>
      </c>
      <c r="L148">
        <f t="shared" si="28"/>
        <v>0</v>
      </c>
      <c r="M148" s="2">
        <f>O148/3.6</f>
        <v>1098186.8993513989</v>
      </c>
      <c r="O148" s="2">
        <f>SUM(E11:E14)</f>
        <v>3953472.8376650363</v>
      </c>
    </row>
    <row r="149" spans="1:15" x14ac:dyDescent="0.45">
      <c r="A149" t="s">
        <v>94</v>
      </c>
      <c r="B149">
        <f t="shared" ref="B149:L149" si="29">$M149*B75/$M75</f>
        <v>0</v>
      </c>
      <c r="C149">
        <f t="shared" si="29"/>
        <v>2269305.9162720377</v>
      </c>
      <c r="D149">
        <f t="shared" si="29"/>
        <v>0</v>
      </c>
      <c r="E149">
        <f t="shared" si="29"/>
        <v>0</v>
      </c>
      <c r="F149">
        <f t="shared" si="29"/>
        <v>0</v>
      </c>
      <c r="G149">
        <f t="shared" si="29"/>
        <v>0</v>
      </c>
      <c r="H149">
        <f t="shared" si="29"/>
        <v>0</v>
      </c>
      <c r="I149">
        <f t="shared" si="29"/>
        <v>0</v>
      </c>
      <c r="J149">
        <f t="shared" si="29"/>
        <v>0</v>
      </c>
      <c r="K149">
        <f t="shared" si="29"/>
        <v>0</v>
      </c>
      <c r="L149">
        <f t="shared" si="29"/>
        <v>0</v>
      </c>
      <c r="M149" s="2">
        <f t="shared" ref="M149:M166" si="30">O149/3.6</f>
        <v>2269305.9162720377</v>
      </c>
      <c r="O149" s="2">
        <f>SUM(E15:E16)</f>
        <v>8169501.2985793352</v>
      </c>
    </row>
    <row r="150" spans="1:15" x14ac:dyDescent="0.45">
      <c r="A150" t="s">
        <v>96</v>
      </c>
      <c r="B150">
        <f t="shared" ref="B150:L150" si="31">$M150*B76/$M76</f>
        <v>2933187.4923749045</v>
      </c>
      <c r="C150">
        <f t="shared" si="31"/>
        <v>0</v>
      </c>
      <c r="D150">
        <f t="shared" si="31"/>
        <v>0</v>
      </c>
      <c r="E150">
        <f t="shared" si="31"/>
        <v>0</v>
      </c>
      <c r="F150">
        <f t="shared" si="31"/>
        <v>0</v>
      </c>
      <c r="G150">
        <f t="shared" si="31"/>
        <v>0</v>
      </c>
      <c r="H150">
        <f t="shared" si="31"/>
        <v>0</v>
      </c>
      <c r="I150">
        <f t="shared" si="31"/>
        <v>0</v>
      </c>
      <c r="J150">
        <f t="shared" si="31"/>
        <v>0</v>
      </c>
      <c r="K150">
        <f t="shared" si="31"/>
        <v>0</v>
      </c>
      <c r="L150">
        <f t="shared" si="31"/>
        <v>0</v>
      </c>
      <c r="M150" s="2">
        <f t="shared" si="30"/>
        <v>2933187.4923749045</v>
      </c>
      <c r="O150" s="2">
        <f>SUM(E17:E18)</f>
        <v>10559474.972549656</v>
      </c>
    </row>
    <row r="151" spans="1:15" x14ac:dyDescent="0.45">
      <c r="A151" t="s">
        <v>98</v>
      </c>
      <c r="B151">
        <f t="shared" ref="B151:L151" si="32">$M151*B77/$M77</f>
        <v>3591987.3845432494</v>
      </c>
      <c r="C151">
        <f t="shared" si="32"/>
        <v>0</v>
      </c>
      <c r="D151">
        <f t="shared" si="32"/>
        <v>0</v>
      </c>
      <c r="E151">
        <f t="shared" si="32"/>
        <v>0</v>
      </c>
      <c r="F151">
        <f t="shared" si="32"/>
        <v>0</v>
      </c>
      <c r="G151">
        <f t="shared" si="32"/>
        <v>0</v>
      </c>
      <c r="H151">
        <f t="shared" si="32"/>
        <v>0</v>
      </c>
      <c r="I151">
        <f t="shared" si="32"/>
        <v>0</v>
      </c>
      <c r="J151">
        <f t="shared" si="32"/>
        <v>0</v>
      </c>
      <c r="K151">
        <f t="shared" si="32"/>
        <v>0</v>
      </c>
      <c r="L151">
        <f t="shared" si="32"/>
        <v>0</v>
      </c>
      <c r="M151" s="2">
        <f t="shared" si="30"/>
        <v>3591987.3845432494</v>
      </c>
      <c r="O151" s="2">
        <f>SUM(E19:E20)</f>
        <v>12931154.584355699</v>
      </c>
    </row>
    <row r="152" spans="1:15" x14ac:dyDescent="0.45">
      <c r="A152" t="s">
        <v>99</v>
      </c>
      <c r="B152">
        <f t="shared" ref="B152:L152" si="33">$M152*B78/$M78</f>
        <v>1684980.0251038445</v>
      </c>
      <c r="C152">
        <f t="shared" si="33"/>
        <v>0</v>
      </c>
      <c r="D152">
        <f t="shared" si="33"/>
        <v>0</v>
      </c>
      <c r="E152">
        <f t="shared" si="33"/>
        <v>0</v>
      </c>
      <c r="F152">
        <f t="shared" si="33"/>
        <v>0</v>
      </c>
      <c r="G152">
        <f t="shared" si="33"/>
        <v>0</v>
      </c>
      <c r="H152">
        <f t="shared" si="33"/>
        <v>0</v>
      </c>
      <c r="I152">
        <f t="shared" si="33"/>
        <v>0</v>
      </c>
      <c r="J152">
        <f t="shared" si="33"/>
        <v>0</v>
      </c>
      <c r="K152">
        <f t="shared" si="33"/>
        <v>0</v>
      </c>
      <c r="L152">
        <f t="shared" si="33"/>
        <v>0</v>
      </c>
      <c r="M152" s="2">
        <f t="shared" si="30"/>
        <v>1684980.0251038445</v>
      </c>
      <c r="O152" s="2">
        <f>SUM(E21)</f>
        <v>6065928.0903738402</v>
      </c>
    </row>
    <row r="153" spans="1:15" x14ac:dyDescent="0.45">
      <c r="A153" t="s">
        <v>100</v>
      </c>
      <c r="B153">
        <f t="shared" ref="B153:L153" si="34">$M153*B79/$M79</f>
        <v>0</v>
      </c>
      <c r="C153">
        <f t="shared" si="34"/>
        <v>0</v>
      </c>
      <c r="D153">
        <f t="shared" si="34"/>
        <v>0</v>
      </c>
      <c r="E153">
        <f t="shared" si="34"/>
        <v>0</v>
      </c>
      <c r="F153">
        <f t="shared" si="34"/>
        <v>0</v>
      </c>
      <c r="G153">
        <f t="shared" si="34"/>
        <v>0</v>
      </c>
      <c r="H153">
        <f t="shared" si="34"/>
        <v>0</v>
      </c>
      <c r="I153">
        <f t="shared" si="34"/>
        <v>0</v>
      </c>
      <c r="J153">
        <f t="shared" si="34"/>
        <v>0</v>
      </c>
      <c r="K153">
        <f t="shared" si="34"/>
        <v>0</v>
      </c>
      <c r="L153">
        <f t="shared" si="34"/>
        <v>0</v>
      </c>
      <c r="M153" s="2">
        <f t="shared" si="30"/>
        <v>0</v>
      </c>
      <c r="O153" s="2"/>
    </row>
    <row r="154" spans="1:15" x14ac:dyDescent="0.45">
      <c r="A154" t="s">
        <v>101</v>
      </c>
      <c r="B154">
        <f t="shared" ref="B154:L154" si="35">$M154*B80/$M80</f>
        <v>0</v>
      </c>
      <c r="C154">
        <f t="shared" si="35"/>
        <v>0</v>
      </c>
      <c r="D154">
        <f t="shared" si="35"/>
        <v>0</v>
      </c>
      <c r="E154">
        <f t="shared" si="35"/>
        <v>0</v>
      </c>
      <c r="F154">
        <f t="shared" si="35"/>
        <v>0</v>
      </c>
      <c r="G154">
        <f t="shared" si="35"/>
        <v>0</v>
      </c>
      <c r="H154">
        <f t="shared" si="35"/>
        <v>0</v>
      </c>
      <c r="I154">
        <f t="shared" si="35"/>
        <v>0</v>
      </c>
      <c r="J154">
        <f t="shared" si="35"/>
        <v>0</v>
      </c>
      <c r="K154">
        <f t="shared" si="35"/>
        <v>0</v>
      </c>
      <c r="L154">
        <f t="shared" si="35"/>
        <v>0</v>
      </c>
      <c r="M154" s="2">
        <f t="shared" si="30"/>
        <v>0</v>
      </c>
      <c r="O154" s="2"/>
    </row>
    <row r="155" spans="1:15" x14ac:dyDescent="0.45">
      <c r="A155" t="s">
        <v>102</v>
      </c>
      <c r="B155">
        <f t="shared" ref="B155:L155" si="36">$M155*B81/$M81</f>
        <v>0</v>
      </c>
      <c r="C155">
        <f t="shared" si="36"/>
        <v>0</v>
      </c>
      <c r="D155">
        <f t="shared" si="36"/>
        <v>0</v>
      </c>
      <c r="E155">
        <f t="shared" si="36"/>
        <v>0</v>
      </c>
      <c r="F155">
        <f t="shared" si="36"/>
        <v>0</v>
      </c>
      <c r="G155">
        <f t="shared" si="36"/>
        <v>0</v>
      </c>
      <c r="H155">
        <f t="shared" si="36"/>
        <v>0</v>
      </c>
      <c r="I155">
        <f t="shared" si="36"/>
        <v>0</v>
      </c>
      <c r="J155">
        <f t="shared" si="36"/>
        <v>0</v>
      </c>
      <c r="K155">
        <f t="shared" si="36"/>
        <v>0</v>
      </c>
      <c r="L155">
        <f t="shared" si="36"/>
        <v>0</v>
      </c>
      <c r="M155" s="2">
        <f t="shared" si="30"/>
        <v>0</v>
      </c>
      <c r="O155" s="2"/>
    </row>
    <row r="156" spans="1:15" x14ac:dyDescent="0.45">
      <c r="A156" t="s">
        <v>103</v>
      </c>
      <c r="B156">
        <f t="shared" ref="B156:L156" si="37">$M156*B82/$M82</f>
        <v>0</v>
      </c>
      <c r="C156">
        <f t="shared" si="37"/>
        <v>0</v>
      </c>
      <c r="D156">
        <f t="shared" si="37"/>
        <v>0</v>
      </c>
      <c r="E156">
        <f t="shared" si="37"/>
        <v>0</v>
      </c>
      <c r="F156">
        <f t="shared" si="37"/>
        <v>0</v>
      </c>
      <c r="G156">
        <f t="shared" si="37"/>
        <v>0</v>
      </c>
      <c r="H156">
        <f t="shared" si="37"/>
        <v>0</v>
      </c>
      <c r="I156">
        <f t="shared" si="37"/>
        <v>0</v>
      </c>
      <c r="J156">
        <f t="shared" si="37"/>
        <v>0</v>
      </c>
      <c r="K156">
        <f t="shared" si="37"/>
        <v>0</v>
      </c>
      <c r="L156">
        <f t="shared" si="37"/>
        <v>0</v>
      </c>
      <c r="M156" s="2">
        <f t="shared" si="30"/>
        <v>0</v>
      </c>
      <c r="O156" s="2"/>
    </row>
    <row r="157" spans="1:15" x14ac:dyDescent="0.45">
      <c r="A157" t="s">
        <v>104</v>
      </c>
      <c r="B157">
        <f t="shared" ref="B157:L157" si="38">$M157*B83/$M83</f>
        <v>0</v>
      </c>
      <c r="C157">
        <f t="shared" si="38"/>
        <v>0</v>
      </c>
      <c r="D157">
        <f t="shared" si="38"/>
        <v>0</v>
      </c>
      <c r="E157">
        <f t="shared" si="38"/>
        <v>0</v>
      </c>
      <c r="F157">
        <f t="shared" si="38"/>
        <v>0</v>
      </c>
      <c r="G157">
        <f t="shared" si="38"/>
        <v>0</v>
      </c>
      <c r="H157">
        <f t="shared" si="38"/>
        <v>0</v>
      </c>
      <c r="I157">
        <f t="shared" si="38"/>
        <v>0</v>
      </c>
      <c r="J157">
        <f t="shared" si="38"/>
        <v>0</v>
      </c>
      <c r="K157">
        <f t="shared" si="38"/>
        <v>0</v>
      </c>
      <c r="L157">
        <f t="shared" si="38"/>
        <v>0</v>
      </c>
      <c r="M157" s="2">
        <f t="shared" si="30"/>
        <v>0</v>
      </c>
      <c r="O157" s="2"/>
    </row>
    <row r="158" spans="1:15" x14ac:dyDescent="0.45">
      <c r="A158" t="s">
        <v>105</v>
      </c>
      <c r="B158">
        <f t="shared" ref="B158:L158" si="39">$M158*B84/$M84</f>
        <v>0</v>
      </c>
      <c r="C158">
        <f t="shared" si="39"/>
        <v>0</v>
      </c>
      <c r="D158">
        <f t="shared" si="39"/>
        <v>0</v>
      </c>
      <c r="E158">
        <f t="shared" si="39"/>
        <v>0</v>
      </c>
      <c r="F158">
        <f t="shared" si="39"/>
        <v>0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 s="2">
        <f t="shared" si="30"/>
        <v>0</v>
      </c>
      <c r="O158" s="2"/>
    </row>
    <row r="159" spans="1:15" x14ac:dyDescent="0.45">
      <c r="A159" t="s">
        <v>106</v>
      </c>
      <c r="B159">
        <f t="shared" ref="B159:L159" si="40">$M159*B85/$M85</f>
        <v>0</v>
      </c>
      <c r="C159">
        <f t="shared" si="40"/>
        <v>0</v>
      </c>
      <c r="D159">
        <f t="shared" si="40"/>
        <v>0</v>
      </c>
      <c r="E159">
        <f t="shared" si="40"/>
        <v>0</v>
      </c>
      <c r="F159">
        <f t="shared" si="40"/>
        <v>0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11850529.028626576</v>
      </c>
      <c r="L159">
        <f t="shared" si="40"/>
        <v>0</v>
      </c>
      <c r="M159" s="2">
        <f t="shared" si="30"/>
        <v>11850529.028626576</v>
      </c>
      <c r="O159" s="2">
        <f>SUM(E22)</f>
        <v>42661904.503055677</v>
      </c>
    </row>
    <row r="160" spans="1:15" x14ac:dyDescent="0.45">
      <c r="A160" t="s">
        <v>107</v>
      </c>
      <c r="B160">
        <f t="shared" ref="B160:L160" si="41">$M160*B86/$M86</f>
        <v>0</v>
      </c>
      <c r="C160">
        <f t="shared" si="41"/>
        <v>0</v>
      </c>
      <c r="D160">
        <f t="shared" si="41"/>
        <v>0</v>
      </c>
      <c r="E160">
        <f t="shared" si="41"/>
        <v>0</v>
      </c>
      <c r="F160">
        <f t="shared" si="41"/>
        <v>0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39823712.245027572</v>
      </c>
      <c r="L160">
        <f t="shared" si="41"/>
        <v>0</v>
      </c>
      <c r="M160" s="2">
        <f t="shared" si="30"/>
        <v>39823712.245027572</v>
      </c>
      <c r="O160" s="2">
        <f>SUM(E23:E27)</f>
        <v>143365364.08209926</v>
      </c>
    </row>
    <row r="161" spans="1:21" x14ac:dyDescent="0.45">
      <c r="A161" t="s">
        <v>108</v>
      </c>
      <c r="B161">
        <f t="shared" ref="B161:K161" si="42">$M161*B87/$M87</f>
        <v>0</v>
      </c>
      <c r="C161">
        <f t="shared" si="42"/>
        <v>0</v>
      </c>
      <c r="D161">
        <f t="shared" si="42"/>
        <v>0</v>
      </c>
      <c r="E161">
        <f t="shared" si="42"/>
        <v>0</v>
      </c>
      <c r="F161">
        <f t="shared" si="42"/>
        <v>0</v>
      </c>
      <c r="G161">
        <f t="shared" si="42"/>
        <v>0</v>
      </c>
      <c r="H161">
        <f t="shared" si="42"/>
        <v>0</v>
      </c>
      <c r="I161">
        <f t="shared" si="42"/>
        <v>0</v>
      </c>
      <c r="J161">
        <f t="shared" si="42"/>
        <v>0</v>
      </c>
      <c r="K161">
        <f t="shared" si="42"/>
        <v>20190950.725945592</v>
      </c>
      <c r="L161">
        <f>$M161*L87/$M87</f>
        <v>32693892.406479228</v>
      </c>
      <c r="M161" s="2">
        <f t="shared" si="30"/>
        <v>52884843.132424824</v>
      </c>
      <c r="O161" s="2">
        <f>SUM(E28:E31)</f>
        <v>190385435.27672938</v>
      </c>
    </row>
    <row r="162" spans="1:21" x14ac:dyDescent="0.45">
      <c r="A162" t="s">
        <v>109</v>
      </c>
      <c r="B162">
        <f t="shared" ref="B162:K162" si="43">$M162*B88/$M88</f>
        <v>0</v>
      </c>
      <c r="C162">
        <f t="shared" si="43"/>
        <v>0</v>
      </c>
      <c r="D162">
        <f t="shared" si="43"/>
        <v>0</v>
      </c>
      <c r="E162">
        <f t="shared" si="43"/>
        <v>0</v>
      </c>
      <c r="F162">
        <f t="shared" si="43"/>
        <v>0</v>
      </c>
      <c r="G162">
        <f t="shared" si="43"/>
        <v>0</v>
      </c>
      <c r="H162">
        <f t="shared" si="43"/>
        <v>0</v>
      </c>
      <c r="I162">
        <f t="shared" si="43"/>
        <v>0</v>
      </c>
      <c r="J162">
        <f t="shared" si="43"/>
        <v>0</v>
      </c>
      <c r="K162">
        <f t="shared" si="43"/>
        <v>0</v>
      </c>
      <c r="L162">
        <f>$M162*L88/$M88</f>
        <v>22746273.166115958</v>
      </c>
      <c r="M162" s="2">
        <f t="shared" si="30"/>
        <v>22746273.166115958</v>
      </c>
      <c r="O162" s="2">
        <f>SUM(E32:E33)</f>
        <v>81886583.398017451</v>
      </c>
    </row>
    <row r="163" spans="1:21" x14ac:dyDescent="0.45">
      <c r="A163" t="s">
        <v>110</v>
      </c>
      <c r="B163">
        <f t="shared" ref="B163:L163" si="44">$M163*B89/$M89</f>
        <v>0</v>
      </c>
      <c r="C163">
        <f t="shared" si="44"/>
        <v>0</v>
      </c>
      <c r="D163">
        <f t="shared" si="44"/>
        <v>0</v>
      </c>
      <c r="E163">
        <f t="shared" si="44"/>
        <v>0</v>
      </c>
      <c r="F163">
        <f t="shared" si="44"/>
        <v>0</v>
      </c>
      <c r="G163">
        <f t="shared" si="44"/>
        <v>0</v>
      </c>
      <c r="H163">
        <f t="shared" si="44"/>
        <v>0</v>
      </c>
      <c r="I163">
        <f t="shared" si="44"/>
        <v>0</v>
      </c>
      <c r="J163">
        <f t="shared" si="44"/>
        <v>0</v>
      </c>
      <c r="K163">
        <f t="shared" si="44"/>
        <v>33753625.726151139</v>
      </c>
      <c r="L163">
        <f t="shared" si="44"/>
        <v>3721603.4132179567</v>
      </c>
      <c r="M163" s="2">
        <f t="shared" si="30"/>
        <v>37475229.139369093</v>
      </c>
      <c r="O163" s="2">
        <f>SUM(E34:E35)</f>
        <v>134910824.90172875</v>
      </c>
    </row>
    <row r="164" spans="1:21" x14ac:dyDescent="0.45">
      <c r="A164" t="s">
        <v>111</v>
      </c>
      <c r="B164">
        <f t="shared" ref="B164:L164" si="45">$M164*B90/$M90</f>
        <v>0</v>
      </c>
      <c r="C164">
        <f t="shared" si="45"/>
        <v>0</v>
      </c>
      <c r="D164">
        <f t="shared" si="45"/>
        <v>0</v>
      </c>
      <c r="E164">
        <f t="shared" si="45"/>
        <v>0</v>
      </c>
      <c r="F164">
        <f t="shared" si="45"/>
        <v>0</v>
      </c>
      <c r="G164">
        <f t="shared" si="45"/>
        <v>0</v>
      </c>
      <c r="H164">
        <f t="shared" si="45"/>
        <v>0</v>
      </c>
      <c r="I164">
        <f t="shared" si="45"/>
        <v>0</v>
      </c>
      <c r="J164">
        <f t="shared" si="45"/>
        <v>20107949.213163968</v>
      </c>
      <c r="K164">
        <f t="shared" si="45"/>
        <v>49540158.643382721</v>
      </c>
      <c r="L164">
        <f t="shared" si="45"/>
        <v>0</v>
      </c>
      <c r="M164" s="2">
        <f t="shared" si="30"/>
        <v>69648107.856546685</v>
      </c>
      <c r="O164" s="2">
        <f>SUM(E36:E38)</f>
        <v>250733188.28356808</v>
      </c>
    </row>
    <row r="165" spans="1:21" x14ac:dyDescent="0.45">
      <c r="A165" t="s">
        <v>112</v>
      </c>
      <c r="B165">
        <f t="shared" ref="B165:L165" si="46">$M165*B91/$M91</f>
        <v>0</v>
      </c>
      <c r="C165">
        <f t="shared" si="46"/>
        <v>0</v>
      </c>
      <c r="D165">
        <f t="shared" si="46"/>
        <v>0</v>
      </c>
      <c r="E165">
        <f t="shared" si="46"/>
        <v>0</v>
      </c>
      <c r="F165">
        <f t="shared" si="46"/>
        <v>0</v>
      </c>
      <c r="G165">
        <f t="shared" si="46"/>
        <v>0</v>
      </c>
      <c r="H165">
        <f t="shared" si="46"/>
        <v>0</v>
      </c>
      <c r="I165">
        <f t="shared" si="46"/>
        <v>0</v>
      </c>
      <c r="J165">
        <f t="shared" si="46"/>
        <v>53849857.59336257</v>
      </c>
      <c r="K165">
        <f t="shared" si="46"/>
        <v>0</v>
      </c>
      <c r="L165">
        <f t="shared" si="46"/>
        <v>0</v>
      </c>
      <c r="M165" s="2">
        <f t="shared" si="30"/>
        <v>53849857.593362577</v>
      </c>
      <c r="O165" s="2">
        <f>SUM(E39:E40)</f>
        <v>193859487.33610529</v>
      </c>
    </row>
    <row r="166" spans="1:21" x14ac:dyDescent="0.45">
      <c r="A166" t="s">
        <v>113</v>
      </c>
      <c r="B166">
        <f t="shared" ref="B166:L166" si="47">$M166*B92/$M92</f>
        <v>0</v>
      </c>
      <c r="C166">
        <f t="shared" si="47"/>
        <v>0</v>
      </c>
      <c r="D166">
        <f t="shared" si="47"/>
        <v>0</v>
      </c>
      <c r="E166">
        <f t="shared" si="47"/>
        <v>0</v>
      </c>
      <c r="F166">
        <f t="shared" si="47"/>
        <v>0</v>
      </c>
      <c r="G166">
        <f t="shared" si="47"/>
        <v>0</v>
      </c>
      <c r="H166">
        <f t="shared" si="47"/>
        <v>0</v>
      </c>
      <c r="I166">
        <f t="shared" si="47"/>
        <v>42094334.142838724</v>
      </c>
      <c r="J166">
        <f t="shared" si="47"/>
        <v>11558033.684650313</v>
      </c>
      <c r="K166">
        <f t="shared" si="47"/>
        <v>0</v>
      </c>
      <c r="L166">
        <f t="shared" si="47"/>
        <v>0</v>
      </c>
      <c r="M166" s="2">
        <f t="shared" si="30"/>
        <v>53652367.827489041</v>
      </c>
      <c r="O166" s="2">
        <f>SUM(E41:E42)</f>
        <v>193148524.17896056</v>
      </c>
    </row>
    <row r="167" spans="1:21" x14ac:dyDescent="0.45">
      <c r="A167" t="s">
        <v>453</v>
      </c>
      <c r="B167" s="2">
        <f>SUM(B148:B166)</f>
        <v>8210154.9020219985</v>
      </c>
      <c r="C167" s="2">
        <f t="shared" ref="C167:L167" si="48">SUM(C148:C166)</f>
        <v>3367492.8156234366</v>
      </c>
      <c r="D167" s="2">
        <f t="shared" si="48"/>
        <v>0</v>
      </c>
      <c r="E167" s="2">
        <f t="shared" si="48"/>
        <v>0</v>
      </c>
      <c r="F167" s="2">
        <f t="shared" si="48"/>
        <v>0</v>
      </c>
      <c r="G167" s="2">
        <f t="shared" si="48"/>
        <v>0</v>
      </c>
      <c r="H167" s="2">
        <f t="shared" si="48"/>
        <v>0</v>
      </c>
      <c r="I167" s="2">
        <f t="shared" si="48"/>
        <v>42094334.142838724</v>
      </c>
      <c r="J167" s="2">
        <f t="shared" si="48"/>
        <v>85515840.491176859</v>
      </c>
      <c r="K167" s="2">
        <f t="shared" si="48"/>
        <v>155158976.36913359</v>
      </c>
      <c r="L167" s="2">
        <f t="shared" si="48"/>
        <v>59161768.985813141</v>
      </c>
      <c r="M167" s="2">
        <f>SUM(B167:L167)</f>
        <v>353508567.70660776</v>
      </c>
    </row>
    <row r="168" spans="1:21" x14ac:dyDescent="0.45">
      <c r="A168" t="s">
        <v>452</v>
      </c>
      <c r="B168" s="3">
        <f>B167/SUM(B167:C167)</f>
        <v>0.70913842796485704</v>
      </c>
      <c r="C168" s="3">
        <f>C167/SUM(B167:C167)</f>
        <v>0.29086157203514301</v>
      </c>
      <c r="D168" s="3"/>
      <c r="E168" s="3"/>
      <c r="F168" s="3"/>
      <c r="G168" s="3"/>
      <c r="H168" s="3"/>
      <c r="I168" s="3">
        <f>I167/SUM($I$167:$L$167)</f>
        <v>0.12310771469335839</v>
      </c>
      <c r="J168" s="3">
        <f>J167/SUM($I$167:$L$167)</f>
        <v>0.25009683386906734</v>
      </c>
      <c r="K168" s="3">
        <f>K167/SUM($I$167:$L$167)</f>
        <v>0.45377287428157187</v>
      </c>
      <c r="L168" s="3">
        <f>L167/SUM($I$167:$L$167)</f>
        <v>0.1730225771560025</v>
      </c>
    </row>
    <row r="171" spans="1:21" s="37" customFormat="1" x14ac:dyDescent="0.45">
      <c r="A171" s="36" t="s">
        <v>457</v>
      </c>
    </row>
    <row r="173" spans="1:21" x14ac:dyDescent="0.45">
      <c r="B173" t="s">
        <v>458</v>
      </c>
      <c r="D173" t="s">
        <v>459</v>
      </c>
      <c r="K173" t="s">
        <v>476</v>
      </c>
    </row>
    <row r="174" spans="1:21" x14ac:dyDescent="0.45">
      <c r="C174" t="s">
        <v>460</v>
      </c>
      <c r="D174" t="s">
        <v>461</v>
      </c>
      <c r="E174" t="s">
        <v>462</v>
      </c>
      <c r="F174" t="s">
        <v>463</v>
      </c>
      <c r="G174" t="s">
        <v>464</v>
      </c>
      <c r="H174" t="s">
        <v>465</v>
      </c>
      <c r="I174" t="s">
        <v>477</v>
      </c>
      <c r="P174" t="s">
        <v>484</v>
      </c>
      <c r="U174" t="s">
        <v>485</v>
      </c>
    </row>
    <row r="175" spans="1:21" x14ac:dyDescent="0.45">
      <c r="A175" t="s">
        <v>82</v>
      </c>
      <c r="B175" t="s">
        <v>466</v>
      </c>
      <c r="C175" s="39">
        <v>774.57899999999995</v>
      </c>
      <c r="D175" s="39">
        <v>655.83486089116457</v>
      </c>
      <c r="E175" s="39">
        <v>197.542</v>
      </c>
      <c r="F175" s="39">
        <v>190.37818691423962</v>
      </c>
      <c r="G175" s="39">
        <v>3.2000000000000001E-2</v>
      </c>
      <c r="H175" s="39">
        <v>155.30009974745661</v>
      </c>
      <c r="I175" s="19">
        <f>SUM(C175:H175)</f>
        <v>1973.6661475528606</v>
      </c>
      <c r="K175" s="40" t="s">
        <v>466</v>
      </c>
      <c r="L175" s="40" t="s">
        <v>82</v>
      </c>
      <c r="M175" s="38"/>
    </row>
    <row r="176" spans="1:21" x14ac:dyDescent="0.45">
      <c r="A176" t="s">
        <v>82</v>
      </c>
      <c r="B176" t="s">
        <v>467</v>
      </c>
      <c r="C176" s="39">
        <v>1826.3779999999999</v>
      </c>
      <c r="D176" s="39">
        <v>1524.3506880951247</v>
      </c>
      <c r="E176" s="39">
        <v>684.96900000000005</v>
      </c>
      <c r="F176" s="39">
        <v>606.60324037504131</v>
      </c>
      <c r="G176" s="39">
        <v>0.11899999999999999</v>
      </c>
      <c r="H176" s="39">
        <v>353.79951854940975</v>
      </c>
      <c r="I176" s="19">
        <f t="shared" ref="I176:I184" si="49">SUM(C176:H176)</f>
        <v>4996.2194470195755</v>
      </c>
      <c r="K176" s="40" t="s">
        <v>467</v>
      </c>
      <c r="L176" s="40" t="s">
        <v>82</v>
      </c>
      <c r="M176" s="38"/>
    </row>
    <row r="177" spans="1:13" x14ac:dyDescent="0.45">
      <c r="A177" t="s">
        <v>82</v>
      </c>
      <c r="B177" t="s">
        <v>468</v>
      </c>
      <c r="C177" s="39">
        <v>382.15499999999997</v>
      </c>
      <c r="D177" s="39">
        <v>321.86639301575002</v>
      </c>
      <c r="E177" s="39">
        <v>213.465</v>
      </c>
      <c r="F177" s="39">
        <v>216.37355262352031</v>
      </c>
      <c r="G177" s="39">
        <v>0.61699999999999999</v>
      </c>
      <c r="H177" s="39">
        <v>117.9925995980942</v>
      </c>
      <c r="I177" s="19">
        <f t="shared" si="49"/>
        <v>1252.4695452373644</v>
      </c>
      <c r="K177" s="40" t="s">
        <v>468</v>
      </c>
      <c r="L177" s="40" t="s">
        <v>82</v>
      </c>
      <c r="M177" s="38"/>
    </row>
    <row r="178" spans="1:13" x14ac:dyDescent="0.45">
      <c r="A178" t="s">
        <v>83</v>
      </c>
      <c r="B178" t="s">
        <v>469</v>
      </c>
      <c r="C178" s="39">
        <v>425.90899999999999</v>
      </c>
      <c r="D178" s="39">
        <v>403.55845017263101</v>
      </c>
      <c r="E178" s="39">
        <v>181.40100000000001</v>
      </c>
      <c r="F178" s="39">
        <v>175.98411154093651</v>
      </c>
      <c r="G178" s="39">
        <v>0.79300000000000004</v>
      </c>
      <c r="H178" s="39">
        <v>204.47499638740328</v>
      </c>
      <c r="I178" s="19">
        <f t="shared" si="49"/>
        <v>1392.1205581009708</v>
      </c>
      <c r="K178" s="40" t="s">
        <v>469</v>
      </c>
      <c r="L178" s="40" t="s">
        <v>83</v>
      </c>
      <c r="M178" s="38"/>
    </row>
    <row r="179" spans="1:13" x14ac:dyDescent="0.45">
      <c r="A179" t="s">
        <v>83</v>
      </c>
      <c r="B179" t="s">
        <v>470</v>
      </c>
      <c r="C179" s="39">
        <v>321.26400000000001</v>
      </c>
      <c r="D179" s="39">
        <v>190.64115060685668</v>
      </c>
      <c r="E179" s="39">
        <v>182.68799999999999</v>
      </c>
      <c r="F179" s="39">
        <v>162.76708318791276</v>
      </c>
      <c r="G179" s="39">
        <v>0.76400000000000001</v>
      </c>
      <c r="H179" s="39">
        <v>156.81197700337884</v>
      </c>
      <c r="I179" s="19">
        <f t="shared" si="49"/>
        <v>1014.9362107981482</v>
      </c>
      <c r="K179" s="40" t="s">
        <v>470</v>
      </c>
      <c r="L179" s="40" t="s">
        <v>83</v>
      </c>
      <c r="M179" s="38"/>
    </row>
    <row r="180" spans="1:13" x14ac:dyDescent="0.45">
      <c r="A180" t="s">
        <v>83</v>
      </c>
      <c r="B180" t="s">
        <v>471</v>
      </c>
      <c r="C180" s="39">
        <v>46.406999999999996</v>
      </c>
      <c r="D180" s="39">
        <v>44.912654170021796</v>
      </c>
      <c r="E180" s="39">
        <v>7.2240000000000002</v>
      </c>
      <c r="F180" s="39">
        <v>23.068605160122875</v>
      </c>
      <c r="G180" s="39">
        <v>3.6999999999999998E-2</v>
      </c>
      <c r="H180" s="39">
        <v>57.52784095492121</v>
      </c>
      <c r="I180" s="19">
        <f t="shared" si="49"/>
        <v>179.17710028506588</v>
      </c>
      <c r="K180" s="40" t="s">
        <v>471</v>
      </c>
      <c r="L180" s="40" t="s">
        <v>83</v>
      </c>
    </row>
    <row r="181" spans="1:13" x14ac:dyDescent="0.45">
      <c r="A181" t="s">
        <v>86</v>
      </c>
      <c r="B181" t="s">
        <v>472</v>
      </c>
      <c r="C181" s="39">
        <v>233.02</v>
      </c>
      <c r="D181" s="39">
        <v>205.45969735848635</v>
      </c>
      <c r="E181" s="39">
        <v>9.2569999999999997</v>
      </c>
      <c r="F181" s="39">
        <v>54.261320181447964</v>
      </c>
      <c r="G181" s="39">
        <v>5.0000000000000001E-3</v>
      </c>
      <c r="H181" s="39">
        <v>178.857968784169</v>
      </c>
      <c r="I181" s="19">
        <f t="shared" si="49"/>
        <v>680.86098632410335</v>
      </c>
      <c r="K181" s="40" t="s">
        <v>472</v>
      </c>
      <c r="L181" s="40" t="s">
        <v>86</v>
      </c>
    </row>
    <row r="182" spans="1:13" x14ac:dyDescent="0.45">
      <c r="A182" t="s">
        <v>84</v>
      </c>
      <c r="B182" t="s">
        <v>473</v>
      </c>
      <c r="C182" s="39">
        <v>156.86199999999999</v>
      </c>
      <c r="D182" s="39">
        <v>115.67159609832939</v>
      </c>
      <c r="E182" s="39">
        <v>12.44</v>
      </c>
      <c r="F182" s="39">
        <v>28.567386766606308</v>
      </c>
      <c r="G182" s="39">
        <v>0</v>
      </c>
      <c r="H182" s="39">
        <v>93.617618831284233</v>
      </c>
      <c r="I182" s="19">
        <f t="shared" si="49"/>
        <v>407.15860169621993</v>
      </c>
      <c r="K182" s="40" t="s">
        <v>473</v>
      </c>
      <c r="L182" s="40" t="s">
        <v>84</v>
      </c>
    </row>
    <row r="183" spans="1:13" x14ac:dyDescent="0.45">
      <c r="A183" t="s">
        <v>84</v>
      </c>
      <c r="B183" t="s">
        <v>474</v>
      </c>
      <c r="C183" s="39">
        <v>382.78</v>
      </c>
      <c r="D183" s="39">
        <v>477.57256792059292</v>
      </c>
      <c r="E183" s="39">
        <v>28.532</v>
      </c>
      <c r="F183" s="39">
        <v>64.478737652372288</v>
      </c>
      <c r="G183" s="39">
        <v>0.20799999999999999</v>
      </c>
      <c r="H183" s="39">
        <v>145.59655968302968</v>
      </c>
      <c r="I183" s="19">
        <f t="shared" si="49"/>
        <v>1099.1678652559949</v>
      </c>
      <c r="K183" s="40" t="s">
        <v>474</v>
      </c>
      <c r="L183" s="40" t="s">
        <v>84</v>
      </c>
    </row>
    <row r="184" spans="1:13" x14ac:dyDescent="0.45">
      <c r="A184" t="s">
        <v>85</v>
      </c>
      <c r="B184" t="s">
        <v>475</v>
      </c>
      <c r="C184" s="39">
        <v>55.036000000000001</v>
      </c>
      <c r="D184" s="39">
        <v>144.5079802206948</v>
      </c>
      <c r="E184" s="39">
        <v>12.712999999999999</v>
      </c>
      <c r="F184" s="39">
        <v>50.873814147452116</v>
      </c>
      <c r="G184" s="39">
        <v>6.8000000000000005E-2</v>
      </c>
      <c r="H184" s="39">
        <v>363.38356133612899</v>
      </c>
      <c r="I184" s="19">
        <f t="shared" si="49"/>
        <v>626.58235570427587</v>
      </c>
      <c r="K184" s="40" t="s">
        <v>475</v>
      </c>
      <c r="L184" s="40" t="s">
        <v>85</v>
      </c>
    </row>
    <row r="187" spans="1:13" x14ac:dyDescent="0.45">
      <c r="C187" t="s">
        <v>71</v>
      </c>
      <c r="D187" t="s">
        <v>114</v>
      </c>
    </row>
    <row r="188" spans="1:13" x14ac:dyDescent="0.45">
      <c r="B188" t="s">
        <v>82</v>
      </c>
      <c r="C188" s="19">
        <f>SUM(I175:I177)</f>
        <v>8222.3551398098007</v>
      </c>
      <c r="D188" s="3">
        <f>C188/SUM($C$188:$C$192)</f>
        <v>0.60359261194621283</v>
      </c>
    </row>
    <row r="189" spans="1:13" x14ac:dyDescent="0.45">
      <c r="B189" t="s">
        <v>83</v>
      </c>
      <c r="C189" s="19">
        <f>SUM(I178:I180)</f>
        <v>2586.2338691841851</v>
      </c>
      <c r="D189" s="3">
        <f t="shared" ref="D189:D192" si="50">C189/SUM($C$188:$C$192)</f>
        <v>0.18985213234668824</v>
      </c>
    </row>
    <row r="190" spans="1:13" x14ac:dyDescent="0.45">
      <c r="B190" t="s">
        <v>84</v>
      </c>
      <c r="C190" s="19">
        <f>SUM(I182:I183)</f>
        <v>1506.3264669522148</v>
      </c>
      <c r="D190" s="3">
        <f t="shared" si="50"/>
        <v>0.11057750622194966</v>
      </c>
    </row>
    <row r="191" spans="1:13" x14ac:dyDescent="0.45">
      <c r="B191" t="s">
        <v>85</v>
      </c>
      <c r="C191" s="19">
        <f>I184</f>
        <v>626.58235570427587</v>
      </c>
      <c r="D191" s="3">
        <f t="shared" si="50"/>
        <v>4.5996612193000393E-2</v>
      </c>
    </row>
    <row r="192" spans="1:13" x14ac:dyDescent="0.45">
      <c r="B192" t="s">
        <v>86</v>
      </c>
      <c r="C192" s="19">
        <f>I181</f>
        <v>680.86098632410335</v>
      </c>
      <c r="D192" s="3">
        <f t="shared" si="50"/>
        <v>4.9981137292148953E-2</v>
      </c>
    </row>
    <row r="198" spans="4:4" x14ac:dyDescent="0.45">
      <c r="D198" s="3"/>
    </row>
    <row r="199" spans="4:4" x14ac:dyDescent="0.45">
      <c r="D199" s="3"/>
    </row>
    <row r="200" spans="4:4" x14ac:dyDescent="0.45">
      <c r="D200" s="3"/>
    </row>
    <row r="201" spans="4:4" x14ac:dyDescent="0.45">
      <c r="D201" s="3"/>
    </row>
    <row r="202" spans="4:4" x14ac:dyDescent="0.45">
      <c r="D202" s="3"/>
    </row>
    <row r="209" spans="2:5" s="37" customFormat="1" x14ac:dyDescent="0.45">
      <c r="B209" s="36" t="s">
        <v>478</v>
      </c>
    </row>
    <row r="210" spans="2:5" x14ac:dyDescent="0.45">
      <c r="B210" t="s">
        <v>479</v>
      </c>
      <c r="C210" t="s">
        <v>480</v>
      </c>
      <c r="D210" t="s">
        <v>481</v>
      </c>
      <c r="E210" t="s">
        <v>482</v>
      </c>
    </row>
    <row r="245" spans="2:8" x14ac:dyDescent="0.45">
      <c r="E245" t="s">
        <v>975</v>
      </c>
    </row>
    <row r="246" spans="2:8" x14ac:dyDescent="0.45">
      <c r="B246" s="157" t="s">
        <v>542</v>
      </c>
      <c r="C246" s="157"/>
      <c r="D246" s="157"/>
      <c r="E246" s="157"/>
    </row>
    <row r="247" spans="2:8" x14ac:dyDescent="0.45">
      <c r="B247" s="41"/>
      <c r="C247" s="41" t="s">
        <v>540</v>
      </c>
      <c r="D247" s="41" t="s">
        <v>541</v>
      </c>
      <c r="E247" s="41" t="s">
        <v>483</v>
      </c>
    </row>
    <row r="248" spans="2:8" x14ac:dyDescent="0.45">
      <c r="B248" s="41" t="s">
        <v>547</v>
      </c>
      <c r="C248" s="41">
        <v>11667</v>
      </c>
      <c r="D248" s="42">
        <f>(12778+18333+1389)</f>
        <v>32500</v>
      </c>
      <c r="E248" s="42">
        <f>11667</f>
        <v>11667</v>
      </c>
      <c r="F248" t="s">
        <v>939</v>
      </c>
      <c r="G248" s="3"/>
      <c r="H248" s="3"/>
    </row>
    <row r="249" spans="2:8" x14ac:dyDescent="0.45">
      <c r="B249" s="41" t="s">
        <v>546</v>
      </c>
      <c r="C249" s="41">
        <f>(14000+4500+9900+1120+7970)</f>
        <v>37490</v>
      </c>
      <c r="D249" s="42">
        <f>(3450+2230)</f>
        <v>5680</v>
      </c>
      <c r="E249" s="42">
        <f>(1431+14000+4500+9900+1120+7970)</f>
        <v>38921</v>
      </c>
      <c r="F249" t="s">
        <v>939</v>
      </c>
      <c r="G249" s="3"/>
      <c r="H249" s="3"/>
    </row>
    <row r="250" spans="2:8" x14ac:dyDescent="0.45">
      <c r="B250" s="41" t="s">
        <v>545</v>
      </c>
      <c r="C250" s="41">
        <f>(24304+11310+8568+30000+28000+3000)</f>
        <v>105182</v>
      </c>
      <c r="D250" s="42">
        <f>(6111+10277+3161)</f>
        <v>19549</v>
      </c>
      <c r="E250" s="42">
        <f>(66163+24304+11310+8568+30000+28000+3000)</f>
        <v>171345</v>
      </c>
      <c r="F250" t="s">
        <v>939</v>
      </c>
      <c r="G250" s="3"/>
      <c r="H250" s="3"/>
    </row>
    <row r="251" spans="2:8" x14ac:dyDescent="0.45">
      <c r="B251" s="41" t="s">
        <v>80</v>
      </c>
      <c r="C251" s="42">
        <f>11667*$B$143*1000</f>
        <v>8273518.0390659878</v>
      </c>
      <c r="D251" s="42">
        <f>(12778+18333+1389)*$B$117*1000</f>
        <v>24799566.837943781</v>
      </c>
      <c r="E251" s="42">
        <f>11667*$B$168*1000</f>
        <v>8273518.0390659878</v>
      </c>
      <c r="G251" s="3"/>
      <c r="H251" s="3"/>
    </row>
    <row r="252" spans="2:8" x14ac:dyDescent="0.45">
      <c r="B252" s="41" t="s">
        <v>81</v>
      </c>
      <c r="C252" s="42">
        <f>11667*$C$143*1000</f>
        <v>3393481.9609340136</v>
      </c>
      <c r="D252" s="42">
        <f>(12778+18333+1389)*$C$117*1000</f>
        <v>7700433.1620562142</v>
      </c>
      <c r="E252" s="42">
        <f>11667*$C$168*1000</f>
        <v>3393481.9609340136</v>
      </c>
      <c r="G252" s="3"/>
      <c r="H252" s="3"/>
    </row>
    <row r="253" spans="2:8" x14ac:dyDescent="0.45">
      <c r="B253" s="41" t="s">
        <v>82</v>
      </c>
      <c r="C253" s="42">
        <f>(14000+4500+9900+1120+7970)*D188*1000</f>
        <v>22628687.02186352</v>
      </c>
      <c r="D253" s="42">
        <f>(3450+2230)*D188*1000</f>
        <v>3428406.0358544891</v>
      </c>
      <c r="E253" s="42">
        <f>(1431+14000+4500+9900+1120+7970)*$D$188*1000</f>
        <v>23492428.049558546</v>
      </c>
      <c r="G253" s="3"/>
      <c r="H253" s="3"/>
    </row>
    <row r="254" spans="2:8" x14ac:dyDescent="0.45">
      <c r="B254" s="41" t="s">
        <v>83</v>
      </c>
      <c r="C254" s="42">
        <f t="shared" ref="C254:C257" si="51">(14000+4500+9900+1120+7970)*D189*1000</f>
        <v>7117556.4416773422</v>
      </c>
      <c r="D254" s="42">
        <f t="shared" ref="D254:D257" si="52">(3450+2230)*D189*1000</f>
        <v>1078360.1117291891</v>
      </c>
      <c r="E254" s="42">
        <f>(1431+14000+4500+9900+1120+7970)*$D$189*1000</f>
        <v>7389234.8430654528</v>
      </c>
      <c r="G254" s="3"/>
      <c r="H254" s="3"/>
    </row>
    <row r="255" spans="2:8" x14ac:dyDescent="0.45">
      <c r="B255" s="41" t="s">
        <v>84</v>
      </c>
      <c r="C255" s="42">
        <f t="shared" si="51"/>
        <v>4145550.7082608929</v>
      </c>
      <c r="D255" s="42">
        <f t="shared" si="52"/>
        <v>628080.23534067406</v>
      </c>
      <c r="E255" s="42">
        <f>(1431+14000+4500+9900+1120+7970)*$D$190*1000</f>
        <v>4303787.1196645033</v>
      </c>
      <c r="G255" s="3"/>
      <c r="H255" s="3"/>
    </row>
    <row r="256" spans="2:8" x14ac:dyDescent="0.45">
      <c r="B256" s="41" t="s">
        <v>85</v>
      </c>
      <c r="C256" s="42">
        <f t="shared" si="51"/>
        <v>1724412.9911155847</v>
      </c>
      <c r="D256" s="42">
        <f t="shared" si="52"/>
        <v>261260.75725624224</v>
      </c>
      <c r="E256" s="42">
        <f>(1431+14000+4500+9900+1120+7970)*$D$191*1000</f>
        <v>1790234.1431637683</v>
      </c>
      <c r="G256" s="3"/>
      <c r="H256" s="3"/>
    </row>
    <row r="257" spans="2:8" x14ac:dyDescent="0.45">
      <c r="B257" s="41" t="s">
        <v>86</v>
      </c>
      <c r="C257" s="42">
        <f t="shared" si="51"/>
        <v>1873792.8370826642</v>
      </c>
      <c r="D257" s="42">
        <f t="shared" si="52"/>
        <v>283892.85981940606</v>
      </c>
      <c r="E257" s="42">
        <f>(1431+14000+4500+9900+1120+7970)*$D$192*1000</f>
        <v>1945315.8445477292</v>
      </c>
      <c r="G257" s="3"/>
      <c r="H257" s="3"/>
    </row>
    <row r="258" spans="2:8" x14ac:dyDescent="0.45">
      <c r="B258" s="41" t="s">
        <v>87</v>
      </c>
      <c r="C258" s="42">
        <f>(24304+11310+8568+30000+28000+3000)*$I$143*1000</f>
        <v>13529853.553503567</v>
      </c>
      <c r="D258" s="42">
        <f>(6111+10277+3161)*$I$117*1000</f>
        <v>425739.49115932413</v>
      </c>
      <c r="E258" s="42">
        <f>(66163+24304+11310+8568+30000+28000+3000)*$I$168*1000</f>
        <v>21093891.374133494</v>
      </c>
      <c r="G258" s="3"/>
      <c r="H258" s="3"/>
    </row>
    <row r="259" spans="2:8" x14ac:dyDescent="0.45">
      <c r="B259" s="41" t="s">
        <v>88</v>
      </c>
      <c r="C259" s="42">
        <f>(24304+11310+8568+30000+28000+3000)*$J$143*1000</f>
        <v>26694290.541002125</v>
      </c>
      <c r="D259" s="42">
        <f>(6111+10277+3161)*$J$117*1000</f>
        <v>948473.9762611069</v>
      </c>
      <c r="E259" s="42">
        <f>(66163+24304+11310+8568+30000+28000+3000)*$J$168*1000</f>
        <v>42852841.999295339</v>
      </c>
      <c r="G259" s="3"/>
      <c r="H259" s="3"/>
    </row>
    <row r="260" spans="2:8" x14ac:dyDescent="0.45">
      <c r="B260" s="41" t="s">
        <v>89</v>
      </c>
      <c r="C260" s="42">
        <f>(24304+11310+8568+30000+28000+3000)*$K$143*1000</f>
        <v>46826586.246067956</v>
      </c>
      <c r="D260" s="42">
        <f>(6111+10277+3161)*$K$117*1000</f>
        <v>11383685.153183725</v>
      </c>
      <c r="E260" s="42">
        <f>(66163+24304+11310+8568+30000+28000+3000)*$K$168*1000</f>
        <v>77751713.14377594</v>
      </c>
      <c r="G260" s="3"/>
      <c r="H260" s="3"/>
    </row>
    <row r="261" spans="2:8" x14ac:dyDescent="0.45">
      <c r="B261" s="41" t="s">
        <v>90</v>
      </c>
      <c r="C261" s="42">
        <f>(24304+11310+8568+30000+28000+3000)*$L$143*1000</f>
        <v>18131269.659426346</v>
      </c>
      <c r="D261" s="42">
        <f>(6111+10277+3161)*$L$117*1000</f>
        <v>6791101.3793958388</v>
      </c>
      <c r="E261" s="42">
        <f>(66163+24304+11310+8568+30000+28000+3000)*$L$168*1000</f>
        <v>29646553.482795246</v>
      </c>
      <c r="G261" s="3"/>
      <c r="H261" s="3"/>
    </row>
    <row r="262" spans="2:8" x14ac:dyDescent="0.45">
      <c r="B262" t="s">
        <v>548</v>
      </c>
    </row>
    <row r="266" spans="2:8" x14ac:dyDescent="0.45">
      <c r="D266" s="2"/>
    </row>
    <row r="267" spans="2:8" s="37" customFormat="1" x14ac:dyDescent="0.45">
      <c r="B267" s="36" t="s">
        <v>969</v>
      </c>
    </row>
    <row r="269" spans="2:8" x14ac:dyDescent="0.45">
      <c r="B269" t="s">
        <v>3</v>
      </c>
      <c r="C269" t="s">
        <v>970</v>
      </c>
    </row>
    <row r="273" spans="1:15" x14ac:dyDescent="0.45">
      <c r="A273" s="153" t="s">
        <v>973</v>
      </c>
      <c r="B273" s="153"/>
      <c r="C273" s="153"/>
      <c r="D273" s="153"/>
      <c r="E273" s="153"/>
      <c r="F273" s="153"/>
      <c r="G273" s="153"/>
      <c r="H273" s="128"/>
    </row>
    <row r="274" spans="1:15" x14ac:dyDescent="0.45">
      <c r="A274" s="150" t="s">
        <v>972</v>
      </c>
      <c r="B274" s="153" t="s">
        <v>971</v>
      </c>
      <c r="C274" s="153"/>
      <c r="D274" s="153"/>
      <c r="E274" s="153" t="s">
        <v>974</v>
      </c>
      <c r="F274" s="153"/>
      <c r="G274" s="153"/>
    </row>
    <row r="275" spans="1:15" x14ac:dyDescent="0.45">
      <c r="A275" s="150"/>
      <c r="B275" s="128" t="s">
        <v>68</v>
      </c>
      <c r="C275" s="128" t="s">
        <v>69</v>
      </c>
      <c r="D275" s="128" t="s">
        <v>70</v>
      </c>
      <c r="E275" s="128" t="s">
        <v>68</v>
      </c>
      <c r="F275" s="128" t="s">
        <v>69</v>
      </c>
      <c r="G275" s="128" t="s">
        <v>70</v>
      </c>
    </row>
    <row r="276" spans="1:15" x14ac:dyDescent="0.45">
      <c r="A276">
        <v>2030</v>
      </c>
      <c r="B276" s="3">
        <f>4.583333+2.955901</f>
        <v>7.5392339999999995</v>
      </c>
      <c r="C276" s="3">
        <f>2.59+10.51+1.67</f>
        <v>14.77</v>
      </c>
      <c r="D276" s="3">
        <f>4.17+37.06+10.24+46.35</f>
        <v>97.820000000000007</v>
      </c>
      <c r="E276" s="3">
        <f>3.19+12.10667</f>
        <v>15.296669999999999</v>
      </c>
      <c r="F276" s="3">
        <v>0.86</v>
      </c>
      <c r="G276" s="3">
        <v>1.53</v>
      </c>
    </row>
    <row r="277" spans="1:15" x14ac:dyDescent="0.45">
      <c r="A277">
        <v>2040</v>
      </c>
      <c r="B277" s="3">
        <f>3.81944+4.216667</f>
        <v>8.0361070000000012</v>
      </c>
      <c r="C277" s="3">
        <f>2.59+11.5+2.96</f>
        <v>17.05</v>
      </c>
      <c r="D277" s="3">
        <f>4.17+51.64+0.2+48.19</f>
        <v>104.2</v>
      </c>
      <c r="E277" s="3">
        <f>3.19375+9.547152</f>
        <v>12.740902</v>
      </c>
      <c r="F277" s="3">
        <f>0.86</f>
        <v>0.86</v>
      </c>
      <c r="G277" s="3">
        <v>1.53</v>
      </c>
    </row>
    <row r="278" spans="1:15" x14ac:dyDescent="0.45">
      <c r="A278">
        <v>2050</v>
      </c>
      <c r="B278" s="3">
        <f>7.204257+3.055555</f>
        <v>10.259812</v>
      </c>
      <c r="C278" s="3">
        <f>2.59+15.51+2.96</f>
        <v>21.060000000000002</v>
      </c>
      <c r="D278" s="3">
        <f>60.09+68.3+4.17</f>
        <v>132.55999999999997</v>
      </c>
      <c r="E278" s="3">
        <f>13.75+4.25833333</f>
        <v>18.008333329999999</v>
      </c>
      <c r="F278" s="3">
        <f>1.15</f>
        <v>1.1499999999999999</v>
      </c>
      <c r="G278" s="3">
        <v>2.04</v>
      </c>
    </row>
    <row r="281" spans="1:15" x14ac:dyDescent="0.45">
      <c r="A281" s="153" t="s">
        <v>976</v>
      </c>
      <c r="B281" s="153"/>
      <c r="C281" s="153"/>
      <c r="D281" s="153"/>
      <c r="E281" s="153"/>
      <c r="F281" s="153"/>
      <c r="G281" s="153"/>
    </row>
    <row r="282" spans="1:15" x14ac:dyDescent="0.45">
      <c r="A282" s="150" t="s">
        <v>978</v>
      </c>
      <c r="B282" s="153" t="s">
        <v>977</v>
      </c>
      <c r="C282" s="153"/>
      <c r="D282" s="153"/>
      <c r="E282" s="153" t="s">
        <v>553</v>
      </c>
      <c r="F282" s="153"/>
      <c r="G282" s="153"/>
    </row>
    <row r="283" spans="1:15" x14ac:dyDescent="0.45">
      <c r="A283" s="150"/>
      <c r="B283" s="127" t="s">
        <v>68</v>
      </c>
      <c r="C283" s="127" t="s">
        <v>69</v>
      </c>
      <c r="D283" s="127" t="s">
        <v>70</v>
      </c>
      <c r="E283" s="127" t="s">
        <v>68</v>
      </c>
      <c r="F283" s="127" t="s">
        <v>69</v>
      </c>
      <c r="G283" s="127" t="s">
        <v>70</v>
      </c>
    </row>
    <row r="284" spans="1:15" x14ac:dyDescent="0.45">
      <c r="A284">
        <v>2030</v>
      </c>
      <c r="B284" s="2">
        <f>($E$248/1000-B276)*3600000</f>
        <v>14859957.600000001</v>
      </c>
      <c r="C284" s="2">
        <f>($E$249/1000-C276)*3600000</f>
        <v>86943600</v>
      </c>
      <c r="D284" s="2">
        <f>($E$250/1000-D276)*3600000</f>
        <v>264689999.99999997</v>
      </c>
      <c r="E284" s="2">
        <f>($D$248/1000-E276)*3600000</f>
        <v>61931988.000000007</v>
      </c>
      <c r="F284" s="2">
        <f>($D$249/1000-F276)*3600000</f>
        <v>17351999.999999996</v>
      </c>
      <c r="G284" s="2">
        <f>($D$250/1000-G276)*3600000</f>
        <v>64868399.999999993</v>
      </c>
    </row>
    <row r="285" spans="1:15" x14ac:dyDescent="0.45">
      <c r="A285">
        <v>2040</v>
      </c>
      <c r="B285" s="2">
        <f>($E$248/1000-B277)*3600000</f>
        <v>13071214.799999995</v>
      </c>
      <c r="C285" s="2">
        <f>($E$249/1000-C277)*3600000</f>
        <v>78735600</v>
      </c>
      <c r="D285" s="2">
        <f>($E$250/1000-D277)*3600000</f>
        <v>241722000</v>
      </c>
      <c r="E285" s="2">
        <f>($D$248/1000-E277)*3600000</f>
        <v>71132752.800000012</v>
      </c>
      <c r="F285" s="2">
        <f>($D$249/1000-F277)*3600000</f>
        <v>17351999.999999996</v>
      </c>
      <c r="G285" s="2">
        <f>($D$250/1000-G277)*3600000</f>
        <v>64868399.999999993</v>
      </c>
    </row>
    <row r="286" spans="1:15" x14ac:dyDescent="0.45">
      <c r="A286">
        <v>2050</v>
      </c>
      <c r="B286" s="2">
        <f>($E$248/1000-B278)*3600000</f>
        <v>5065876.7999999989</v>
      </c>
      <c r="C286" s="2">
        <f>($E$249/1000-C278)*3600000</f>
        <v>64299599.999999993</v>
      </c>
      <c r="D286" s="2">
        <f>($E$250/1000-D278)*3600000</f>
        <v>139626000.00000009</v>
      </c>
      <c r="E286" s="2">
        <f>($D$248/1000-E278)*3600000</f>
        <v>52170000.012000002</v>
      </c>
      <c r="F286" s="2">
        <f>($D$249/1000-F278)*3600000</f>
        <v>16307999.999999998</v>
      </c>
      <c r="G286" s="2">
        <f>($D$250/1000-G278)*3600000</f>
        <v>63032400</v>
      </c>
    </row>
    <row r="288" spans="1:15" x14ac:dyDescent="0.45">
      <c r="A288" s="153" t="s">
        <v>1122</v>
      </c>
      <c r="B288" s="153"/>
      <c r="C288" s="153"/>
      <c r="D288" s="153"/>
      <c r="E288" s="153"/>
      <c r="F288" s="153"/>
      <c r="G288" s="153"/>
      <c r="I288" s="153" t="s">
        <v>1040</v>
      </c>
      <c r="J288" s="153"/>
      <c r="K288" s="153"/>
      <c r="L288" s="153"/>
      <c r="M288" s="153"/>
      <c r="N288" s="153"/>
      <c r="O288" s="153"/>
    </row>
    <row r="289" spans="1:13" x14ac:dyDescent="0.45">
      <c r="A289" t="s">
        <v>978</v>
      </c>
      <c r="B289" t="s">
        <v>977</v>
      </c>
      <c r="E289" t="s">
        <v>553</v>
      </c>
    </row>
    <row r="290" spans="1:13" x14ac:dyDescent="0.45">
      <c r="B290" t="s">
        <v>68</v>
      </c>
      <c r="C290" t="s">
        <v>69</v>
      </c>
      <c r="D290" t="s">
        <v>70</v>
      </c>
      <c r="E290" t="s">
        <v>68</v>
      </c>
      <c r="F290" t="s">
        <v>69</v>
      </c>
      <c r="G290" t="s">
        <v>70</v>
      </c>
    </row>
    <row r="291" spans="1:13" x14ac:dyDescent="0.45">
      <c r="A291">
        <v>2030</v>
      </c>
      <c r="B291" s="2">
        <v>0</v>
      </c>
      <c r="C291" s="2">
        <v>0</v>
      </c>
      <c r="D291" s="2">
        <v>0</v>
      </c>
      <c r="E291" s="2">
        <v>0</v>
      </c>
      <c r="F291">
        <v>0</v>
      </c>
      <c r="G291">
        <v>0</v>
      </c>
      <c r="I291" s="3">
        <f>B291/3.6/1000000</f>
        <v>0</v>
      </c>
      <c r="J291" s="3">
        <f t="shared" ref="J291:M293" si="53">C291/3.6/1000000</f>
        <v>0</v>
      </c>
      <c r="K291" s="3">
        <f t="shared" si="53"/>
        <v>0</v>
      </c>
      <c r="L291" s="3">
        <f t="shared" si="53"/>
        <v>0</v>
      </c>
      <c r="M291" s="3">
        <f t="shared" si="53"/>
        <v>0</v>
      </c>
    </row>
    <row r="292" spans="1:13" x14ac:dyDescent="0.45">
      <c r="A292">
        <v>2040</v>
      </c>
      <c r="B292" s="2">
        <v>0</v>
      </c>
      <c r="C292" s="2">
        <v>0</v>
      </c>
      <c r="D292" s="2">
        <v>0</v>
      </c>
      <c r="E292">
        <v>0</v>
      </c>
      <c r="F292">
        <v>0</v>
      </c>
      <c r="G292">
        <v>0</v>
      </c>
      <c r="I292" s="3">
        <f t="shared" ref="I292:I293" si="54">B292/3.6/1000000</f>
        <v>0</v>
      </c>
      <c r="J292" s="3">
        <f t="shared" si="53"/>
        <v>0</v>
      </c>
      <c r="K292" s="3">
        <f t="shared" si="53"/>
        <v>0</v>
      </c>
      <c r="L292" s="3">
        <f t="shared" si="53"/>
        <v>0</v>
      </c>
      <c r="M292" s="3">
        <f t="shared" si="53"/>
        <v>0</v>
      </c>
    </row>
    <row r="293" spans="1:13" x14ac:dyDescent="0.45">
      <c r="A293">
        <v>2050</v>
      </c>
      <c r="B293" s="2">
        <v>0</v>
      </c>
      <c r="C293" s="2">
        <v>0</v>
      </c>
      <c r="D293" s="2">
        <v>0</v>
      </c>
      <c r="E293">
        <v>0</v>
      </c>
      <c r="F293">
        <v>0</v>
      </c>
      <c r="G293">
        <v>0</v>
      </c>
      <c r="I293" s="3">
        <f t="shared" si="54"/>
        <v>0</v>
      </c>
      <c r="J293" s="3">
        <f t="shared" si="53"/>
        <v>0</v>
      </c>
      <c r="K293" s="3">
        <f t="shared" si="53"/>
        <v>0</v>
      </c>
      <c r="L293" s="3">
        <f t="shared" si="53"/>
        <v>0</v>
      </c>
      <c r="M293" s="3">
        <f t="shared" si="53"/>
        <v>0</v>
      </c>
    </row>
    <row r="295" spans="1:13" s="37" customFormat="1" x14ac:dyDescent="0.45">
      <c r="B295" s="36" t="s">
        <v>979</v>
      </c>
    </row>
    <row r="299" spans="1:13" x14ac:dyDescent="0.45">
      <c r="B299" s="157" t="s">
        <v>980</v>
      </c>
      <c r="C299" s="157"/>
      <c r="D299" s="157"/>
      <c r="E299" s="129"/>
      <c r="F299" s="157" t="s">
        <v>982</v>
      </c>
      <c r="G299" s="157"/>
      <c r="H299" s="157"/>
      <c r="J299" s="157" t="s">
        <v>981</v>
      </c>
      <c r="K299" s="157"/>
      <c r="L299" s="157"/>
    </row>
    <row r="300" spans="1:13" x14ac:dyDescent="0.45">
      <c r="B300" s="41"/>
      <c r="C300" s="41" t="s">
        <v>541</v>
      </c>
      <c r="D300" s="41" t="s">
        <v>483</v>
      </c>
      <c r="F300" s="41"/>
      <c r="G300" s="41" t="s">
        <v>541</v>
      </c>
      <c r="H300" s="41" t="s">
        <v>483</v>
      </c>
      <c r="J300" s="41"/>
      <c r="K300" s="41" t="s">
        <v>541</v>
      </c>
      <c r="L300" s="41" t="s">
        <v>483</v>
      </c>
    </row>
    <row r="301" spans="1:13" x14ac:dyDescent="0.45">
      <c r="B301" s="41" t="s">
        <v>547</v>
      </c>
      <c r="C301" s="42">
        <f>(12778+18333+1389)-$E$291/3.6/1000</f>
        <v>32500</v>
      </c>
      <c r="D301" s="42">
        <f>11667-$B$291/3.6/1000</f>
        <v>11667</v>
      </c>
      <c r="E301" t="s">
        <v>939</v>
      </c>
      <c r="F301" s="41" t="s">
        <v>547</v>
      </c>
      <c r="G301" s="42">
        <f>(12778+18333+1389)-$E$292/3.6/1000</f>
        <v>32500</v>
      </c>
      <c r="H301" s="42">
        <f>11667-$B$292/3.6/1000</f>
        <v>11667</v>
      </c>
      <c r="J301" s="41" t="s">
        <v>547</v>
      </c>
      <c r="K301" s="42">
        <f>(12778+18333+1389)-$E$293/3.6/1000</f>
        <v>32500</v>
      </c>
      <c r="L301" s="42">
        <f>11667-$B$293/3.6/1000</f>
        <v>11667</v>
      </c>
    </row>
    <row r="302" spans="1:13" x14ac:dyDescent="0.45">
      <c r="B302" s="41" t="s">
        <v>546</v>
      </c>
      <c r="C302" s="42">
        <f>(3450+2230)-$F$291/3.6/1000</f>
        <v>5680</v>
      </c>
      <c r="D302" s="42">
        <f>(1431+14000+4500+9900+1120+7970)-$C$291/3.6/1000</f>
        <v>38921</v>
      </c>
      <c r="E302" t="s">
        <v>939</v>
      </c>
      <c r="F302" s="41" t="s">
        <v>546</v>
      </c>
      <c r="G302" s="42">
        <f>(3450+2230)-$F$292/3.6/1000</f>
        <v>5680</v>
      </c>
      <c r="H302" s="42">
        <f>(1431+14000+4500+9900+1120+7970)-$C$292/3.6/1000</f>
        <v>38921</v>
      </c>
      <c r="J302" s="41" t="s">
        <v>546</v>
      </c>
      <c r="K302" s="42">
        <f>(3450+2230)-$F$293/3.6/1000</f>
        <v>5680</v>
      </c>
      <c r="L302" s="42">
        <f>(1431+14000+4500+9900+1120+7970)-$C$293/3.6/1000</f>
        <v>38921</v>
      </c>
    </row>
    <row r="303" spans="1:13" x14ac:dyDescent="0.45">
      <c r="B303" s="41" t="s">
        <v>545</v>
      </c>
      <c r="C303" s="42">
        <f>(6111+10277+3161)-$G$291/3.6/1000</f>
        <v>19549</v>
      </c>
      <c r="D303" s="42">
        <f>(66163+24304+11310+8568+30000+28000+3000)-$D$291/3.6/1000</f>
        <v>171345</v>
      </c>
      <c r="E303" t="s">
        <v>939</v>
      </c>
      <c r="F303" s="41" t="s">
        <v>545</v>
      </c>
      <c r="G303" s="42">
        <f>(6111+10277+3161)-$G$292/3.6/1000</f>
        <v>19549</v>
      </c>
      <c r="H303" s="42">
        <f>(66163+24304+11310+8568+30000+28000+3000)-$D$292/3.6/1000</f>
        <v>171345</v>
      </c>
      <c r="J303" s="41" t="s">
        <v>545</v>
      </c>
      <c r="K303" s="42">
        <f>(6111+10277+3161)-$G$293/3.6/1000</f>
        <v>19549</v>
      </c>
      <c r="L303" s="42">
        <f>(66163+24304+11310+8568+30000+28000+3000)-$D$293/3.6/1000</f>
        <v>171345</v>
      </c>
    </row>
    <row r="304" spans="1:13" x14ac:dyDescent="0.45">
      <c r="B304" s="41" t="s">
        <v>80</v>
      </c>
      <c r="C304" s="42">
        <f>$C$301*$B$117*1000</f>
        <v>24799566.837943781</v>
      </c>
      <c r="D304" s="42">
        <f>$D$301*$B$168*1000</f>
        <v>8273518.0390659878</v>
      </c>
      <c r="F304" s="41" t="s">
        <v>80</v>
      </c>
      <c r="G304" s="42">
        <f>$G$301*$B$117*1000</f>
        <v>24799566.837943781</v>
      </c>
      <c r="H304" s="42">
        <f>$H$301*$B$168*1000</f>
        <v>8273518.0390659878</v>
      </c>
      <c r="J304" s="41" t="s">
        <v>80</v>
      </c>
      <c r="K304" s="42">
        <f>$K$301*$B$117*1000</f>
        <v>24799566.837943781</v>
      </c>
      <c r="L304" s="42">
        <f>$L$301*$B$168*1000</f>
        <v>8273518.0390659878</v>
      </c>
    </row>
    <row r="305" spans="2:12" x14ac:dyDescent="0.45">
      <c r="B305" s="41" t="s">
        <v>81</v>
      </c>
      <c r="C305" s="42">
        <f>$C$301*$C$117*1000</f>
        <v>7700433.1620562142</v>
      </c>
      <c r="D305" s="42">
        <f>$D$301*$C$168*1000</f>
        <v>3393481.9609340136</v>
      </c>
      <c r="F305" s="41" t="s">
        <v>81</v>
      </c>
      <c r="G305" s="42">
        <f>$G$301*$C$117*1000</f>
        <v>7700433.1620562142</v>
      </c>
      <c r="H305" s="42">
        <f>$H$301*$C$168*1000</f>
        <v>3393481.9609340136</v>
      </c>
      <c r="J305" s="41" t="s">
        <v>81</v>
      </c>
      <c r="K305" s="42">
        <f>$K$301*$C$117*1000</f>
        <v>7700433.1620562142</v>
      </c>
      <c r="L305" s="42">
        <f>$L$301*$C$168*1000</f>
        <v>3393481.9609340136</v>
      </c>
    </row>
    <row r="306" spans="2:12" x14ac:dyDescent="0.45">
      <c r="B306" s="41" t="s">
        <v>82</v>
      </c>
      <c r="C306" s="42">
        <f>$C$302*$D$188*1000</f>
        <v>3428406.0358544891</v>
      </c>
      <c r="D306" s="42">
        <f>$D$302*$D$188*1000</f>
        <v>23492428.049558546</v>
      </c>
      <c r="F306" s="41" t="s">
        <v>82</v>
      </c>
      <c r="G306" s="42">
        <f>$G$302*$D$188*1000</f>
        <v>3428406.0358544891</v>
      </c>
      <c r="H306" s="42">
        <f>$H$302*$D$188*1000</f>
        <v>23492428.049558546</v>
      </c>
      <c r="J306" s="41" t="s">
        <v>82</v>
      </c>
      <c r="K306" s="42">
        <f>$K$302*$D$188*1000</f>
        <v>3428406.0358544891</v>
      </c>
      <c r="L306" s="42">
        <f>$L$302*$D$188*1000</f>
        <v>23492428.049558546</v>
      </c>
    </row>
    <row r="307" spans="2:12" x14ac:dyDescent="0.45">
      <c r="B307" s="41" t="s">
        <v>83</v>
      </c>
      <c r="C307" s="42">
        <f>$C$302*$D$189*1000</f>
        <v>1078360.1117291891</v>
      </c>
      <c r="D307" s="42">
        <f>$D$302*$D$189*1000</f>
        <v>7389234.8430654528</v>
      </c>
      <c r="F307" s="41" t="s">
        <v>83</v>
      </c>
      <c r="G307" s="42">
        <f>$G$302*$D$189*1000</f>
        <v>1078360.1117291891</v>
      </c>
      <c r="H307" s="42">
        <f>$H$302*$D$189*1000</f>
        <v>7389234.8430654528</v>
      </c>
      <c r="J307" s="41" t="s">
        <v>83</v>
      </c>
      <c r="K307" s="42">
        <f>$K$302*$D$189*1000</f>
        <v>1078360.1117291891</v>
      </c>
      <c r="L307" s="42">
        <f>$L$302*$D$189*1000</f>
        <v>7389234.8430654528</v>
      </c>
    </row>
    <row r="308" spans="2:12" x14ac:dyDescent="0.45">
      <c r="B308" s="41" t="s">
        <v>84</v>
      </c>
      <c r="C308" s="42">
        <f>$C$302*$D$190*1000</f>
        <v>628080.23534067406</v>
      </c>
      <c r="D308" s="42">
        <f>$D$302*$D$190*1000</f>
        <v>4303787.1196645033</v>
      </c>
      <c r="F308" s="41" t="s">
        <v>84</v>
      </c>
      <c r="G308" s="42">
        <f>$G$302*$D$190*1000</f>
        <v>628080.23534067406</v>
      </c>
      <c r="H308" s="42">
        <f>$H$302*$D$190*1000</f>
        <v>4303787.1196645033</v>
      </c>
      <c r="J308" s="41" t="s">
        <v>84</v>
      </c>
      <c r="K308" s="42">
        <f>$K$302*$D$190*1000</f>
        <v>628080.23534067406</v>
      </c>
      <c r="L308" s="42">
        <f>$L$302*$D$190*1000</f>
        <v>4303787.1196645033</v>
      </c>
    </row>
    <row r="309" spans="2:12" x14ac:dyDescent="0.45">
      <c r="B309" s="41" t="s">
        <v>85</v>
      </c>
      <c r="C309" s="42">
        <f>$C$302*$D$191*1000</f>
        <v>261260.75725624224</v>
      </c>
      <c r="D309" s="42">
        <f>$D$302*$D$191*1000</f>
        <v>1790234.1431637683</v>
      </c>
      <c r="F309" s="41" t="s">
        <v>85</v>
      </c>
      <c r="G309" s="42">
        <f>$G$302*$D$191*1000</f>
        <v>261260.75725624224</v>
      </c>
      <c r="H309" s="42">
        <f>$H$302*$D$191*1000</f>
        <v>1790234.1431637683</v>
      </c>
      <c r="J309" s="41" t="s">
        <v>85</v>
      </c>
      <c r="K309" s="42">
        <f>$K$302*$D$191*1000</f>
        <v>261260.75725624224</v>
      </c>
      <c r="L309" s="42">
        <f>$L$302*$D$191*1000</f>
        <v>1790234.1431637683</v>
      </c>
    </row>
    <row r="310" spans="2:12" x14ac:dyDescent="0.45">
      <c r="B310" s="41" t="s">
        <v>86</v>
      </c>
      <c r="C310" s="42">
        <f>$C$302*$D$192*1000</f>
        <v>283892.85981940606</v>
      </c>
      <c r="D310" s="42">
        <f>$D$302*$D$192*1000</f>
        <v>1945315.8445477292</v>
      </c>
      <c r="F310" s="41" t="s">
        <v>86</v>
      </c>
      <c r="G310" s="42">
        <f>$G$302*$D$192*1000</f>
        <v>283892.85981940606</v>
      </c>
      <c r="H310" s="42">
        <f>$H$302*$D$192*1000</f>
        <v>1945315.8445477292</v>
      </c>
      <c r="J310" s="41" t="s">
        <v>86</v>
      </c>
      <c r="K310" s="42">
        <f>$K$302*$D$192*1000</f>
        <v>283892.85981940606</v>
      </c>
      <c r="L310" s="42">
        <f>$L$302*$D$192*1000</f>
        <v>1945315.8445477292</v>
      </c>
    </row>
    <row r="311" spans="2:12" x14ac:dyDescent="0.45">
      <c r="B311" s="41" t="s">
        <v>87</v>
      </c>
      <c r="C311" s="42">
        <f>$C$303*$I$117*1000</f>
        <v>425739.49115932413</v>
      </c>
      <c r="D311" s="42">
        <f>$D$303*$I$168*1000</f>
        <v>21093891.374133494</v>
      </c>
      <c r="F311" s="41" t="s">
        <v>87</v>
      </c>
      <c r="G311" s="42">
        <f>$G$303*$I$117*1000</f>
        <v>425739.49115932413</v>
      </c>
      <c r="H311" s="42">
        <f>$H$303*$I$168*1000</f>
        <v>21093891.374133494</v>
      </c>
      <c r="J311" s="41" t="s">
        <v>87</v>
      </c>
      <c r="K311" s="42">
        <f>$K$303*$I$117*1000</f>
        <v>425739.49115932413</v>
      </c>
      <c r="L311" s="42">
        <f>$L$303*$I$168*1000</f>
        <v>21093891.374133494</v>
      </c>
    </row>
    <row r="312" spans="2:12" x14ac:dyDescent="0.45">
      <c r="B312" s="41" t="s">
        <v>88</v>
      </c>
      <c r="C312" s="42">
        <f>$C$303*$J$117*1000</f>
        <v>948473.9762611069</v>
      </c>
      <c r="D312" s="42">
        <f>$D$303*$J$168*1000</f>
        <v>42852841.999295339</v>
      </c>
      <c r="F312" s="41" t="s">
        <v>88</v>
      </c>
      <c r="G312" s="42">
        <f>$G$303*$J$117*1000</f>
        <v>948473.9762611069</v>
      </c>
      <c r="H312" s="42">
        <f>$H$303*$J$168*1000</f>
        <v>42852841.999295339</v>
      </c>
      <c r="J312" s="41" t="s">
        <v>88</v>
      </c>
      <c r="K312" s="42">
        <f>$K$303*$J$117*1000</f>
        <v>948473.9762611069</v>
      </c>
      <c r="L312" s="42">
        <f>$L$303*$J$168*1000</f>
        <v>42852841.999295339</v>
      </c>
    </row>
    <row r="313" spans="2:12" x14ac:dyDescent="0.45">
      <c r="B313" s="41" t="s">
        <v>89</v>
      </c>
      <c r="C313" s="42">
        <f>$C$303*$K$117*1000</f>
        <v>11383685.153183725</v>
      </c>
      <c r="D313" s="42">
        <f>$D$303*$K$168*1000</f>
        <v>77751713.14377594</v>
      </c>
      <c r="F313" s="41" t="s">
        <v>89</v>
      </c>
      <c r="G313" s="42">
        <f>$G$303*$K$117*1000</f>
        <v>11383685.153183725</v>
      </c>
      <c r="H313" s="42">
        <f>$H$303*$K$168*1000</f>
        <v>77751713.14377594</v>
      </c>
      <c r="J313" s="41" t="s">
        <v>89</v>
      </c>
      <c r="K313" s="42">
        <f>$K$303*$K$117*1000</f>
        <v>11383685.153183725</v>
      </c>
      <c r="L313" s="42">
        <f>$L$303*$K$168*1000</f>
        <v>77751713.14377594</v>
      </c>
    </row>
    <row r="314" spans="2:12" x14ac:dyDescent="0.45">
      <c r="B314" s="41" t="s">
        <v>90</v>
      </c>
      <c r="C314" s="42">
        <f>$C$303*$L$117*1000</f>
        <v>6791101.3793958388</v>
      </c>
      <c r="D314" s="42">
        <f>$D$303*$L$168*1000</f>
        <v>29646553.482795246</v>
      </c>
      <c r="F314" s="41" t="s">
        <v>90</v>
      </c>
      <c r="G314" s="42">
        <f>$G$303*$L$117*1000</f>
        <v>6791101.3793958388</v>
      </c>
      <c r="H314" s="42">
        <f>$H$303*$L$168*1000</f>
        <v>29646553.482795246</v>
      </c>
      <c r="J314" s="41" t="s">
        <v>90</v>
      </c>
      <c r="K314" s="42">
        <f>$K$303*$L$117*1000</f>
        <v>6791101.3793958388</v>
      </c>
      <c r="L314" s="42">
        <f>$L$303*$L$168*1000</f>
        <v>29646553.482795246</v>
      </c>
    </row>
    <row r="320" spans="2:12" x14ac:dyDescent="0.45">
      <c r="B320" s="157" t="s">
        <v>1049</v>
      </c>
      <c r="C320" s="157"/>
      <c r="D320" s="157"/>
      <c r="E320" s="129"/>
      <c r="F320" s="157" t="s">
        <v>1050</v>
      </c>
      <c r="G320" s="157"/>
      <c r="H320" s="157"/>
      <c r="J320" s="157" t="s">
        <v>1051</v>
      </c>
      <c r="K320" s="157"/>
      <c r="L320" s="157"/>
    </row>
    <row r="321" spans="2:12" x14ac:dyDescent="0.45">
      <c r="B321" s="41"/>
      <c r="C321" s="41" t="s">
        <v>541</v>
      </c>
      <c r="D321" s="41" t="s">
        <v>483</v>
      </c>
      <c r="F321" s="41"/>
      <c r="G321" s="41" t="s">
        <v>541</v>
      </c>
      <c r="H321" s="41" t="s">
        <v>483</v>
      </c>
      <c r="J321" s="41"/>
      <c r="K321" s="41" t="s">
        <v>541</v>
      </c>
      <c r="L321" s="41" t="s">
        <v>483</v>
      </c>
    </row>
    <row r="322" spans="2:12" x14ac:dyDescent="0.45">
      <c r="B322" s="41" t="s">
        <v>547</v>
      </c>
      <c r="C322" s="42">
        <f>((12778+18333+1389)-$E$291/3.6/1000)*0.5</f>
        <v>16250</v>
      </c>
      <c r="D322" s="42">
        <f>(11667-$B$291/3.6/1000)*0.5</f>
        <v>5833.5</v>
      </c>
      <c r="E322" t="s">
        <v>939</v>
      </c>
      <c r="F322" s="41" t="s">
        <v>547</v>
      </c>
      <c r="G322" s="42">
        <f>((12778+18333+1389)-$E$292/3.6/1000)*0.5</f>
        <v>16250</v>
      </c>
      <c r="H322" s="42">
        <f>(11667-$B$292/3.6/1000)*0.5</f>
        <v>5833.5</v>
      </c>
      <c r="J322" s="41" t="s">
        <v>547</v>
      </c>
      <c r="K322" s="42">
        <f>((12778+18333+1389)-$E$293/3.6/1000)*0.5</f>
        <v>16250</v>
      </c>
      <c r="L322" s="42">
        <f>(11667-$B$293/3.6/1000)*0.5</f>
        <v>5833.5</v>
      </c>
    </row>
    <row r="323" spans="2:12" x14ac:dyDescent="0.45">
      <c r="B323" s="41" t="s">
        <v>546</v>
      </c>
      <c r="C323" s="42">
        <f>((3450+2230)-$F$291/3.6/1000)*0.5</f>
        <v>2840</v>
      </c>
      <c r="D323" s="42">
        <f>((1431+14000+4500+9900+1120+7970)-$C$291/3.6/1000)*0.5</f>
        <v>19460.5</v>
      </c>
      <c r="E323" t="s">
        <v>939</v>
      </c>
      <c r="F323" s="41" t="s">
        <v>546</v>
      </c>
      <c r="G323" s="42">
        <f>((3450+2230)-$F$292/3.6/1000)*0.5</f>
        <v>2840</v>
      </c>
      <c r="H323" s="42">
        <f>((1431+14000+4500+9900+1120+7970)-$C$292/3.6/1000)*0.5</f>
        <v>19460.5</v>
      </c>
      <c r="J323" s="41" t="s">
        <v>546</v>
      </c>
      <c r="K323" s="42">
        <f>((3450+2230)-$F$293/3.6/1000)*0.5</f>
        <v>2840</v>
      </c>
      <c r="L323" s="42">
        <f>((1431+14000+4500+9900+1120+7970)-$C$293/3.6/1000)*0.5</f>
        <v>19460.5</v>
      </c>
    </row>
    <row r="324" spans="2:12" x14ac:dyDescent="0.45">
      <c r="B324" s="41" t="s">
        <v>545</v>
      </c>
      <c r="C324" s="42">
        <f>((6111+10277+3161)-$G$291/3.6/1000)*0.5</f>
        <v>9774.5</v>
      </c>
      <c r="D324" s="42">
        <f>((66163+24304+11310+8568+30000+28000+3000)-$D$291/3.6/1000)*0.5</f>
        <v>85672.5</v>
      </c>
      <c r="E324" t="s">
        <v>939</v>
      </c>
      <c r="F324" s="41" t="s">
        <v>545</v>
      </c>
      <c r="G324" s="42">
        <f>((6111+10277+3161)-$G$292/3.6/1000)*0.5</f>
        <v>9774.5</v>
      </c>
      <c r="H324" s="42">
        <f>((66163+24304+11310+8568+30000+28000+3000)-$D$292/3.6/1000)*0.5</f>
        <v>85672.5</v>
      </c>
      <c r="J324" s="41" t="s">
        <v>545</v>
      </c>
      <c r="K324" s="42">
        <f>((6111+10277+3161)-$G$293/3.6/1000)*0.5</f>
        <v>9774.5</v>
      </c>
      <c r="L324" s="42">
        <f>((66163+24304+11310+8568+30000+28000+3000)-$D$293/3.6/1000)*0.5</f>
        <v>85672.5</v>
      </c>
    </row>
    <row r="325" spans="2:12" x14ac:dyDescent="0.45">
      <c r="B325" s="41" t="s">
        <v>80</v>
      </c>
      <c r="C325" s="42">
        <f>$C$322*$B$117*1000</f>
        <v>12399783.418971891</v>
      </c>
      <c r="D325" s="42">
        <f>$D$322*$B$168*1000</f>
        <v>4136759.0195329939</v>
      </c>
      <c r="F325" s="41" t="s">
        <v>80</v>
      </c>
      <c r="G325" s="42">
        <f>$G$322*$B$117*1000</f>
        <v>12399783.418971891</v>
      </c>
      <c r="H325" s="42">
        <f>$H$322*$B$168*1000</f>
        <v>4136759.0195329939</v>
      </c>
      <c r="J325" s="41" t="s">
        <v>80</v>
      </c>
      <c r="K325" s="42">
        <f>$K$322*$B$117*1000</f>
        <v>12399783.418971891</v>
      </c>
      <c r="L325" s="42">
        <f>$L$322*$B$168*1000</f>
        <v>4136759.0195329939</v>
      </c>
    </row>
    <row r="326" spans="2:12" x14ac:dyDescent="0.45">
      <c r="B326" s="41" t="s">
        <v>81</v>
      </c>
      <c r="C326" s="42">
        <f>$C$322*$C$117*1000</f>
        <v>3850216.5810281071</v>
      </c>
      <c r="D326" s="42">
        <f>$D$322*$C$168*1000</f>
        <v>1696740.9804670068</v>
      </c>
      <c r="F326" s="41" t="s">
        <v>81</v>
      </c>
      <c r="G326" s="42">
        <f>$G$322*$C$117*1000</f>
        <v>3850216.5810281071</v>
      </c>
      <c r="H326" s="42">
        <f>$H$322*$C$168*1000</f>
        <v>1696740.9804670068</v>
      </c>
      <c r="J326" s="41" t="s">
        <v>81</v>
      </c>
      <c r="K326" s="42">
        <f>$K$322*$C$117*1000</f>
        <v>3850216.5810281071</v>
      </c>
      <c r="L326" s="42">
        <f>$L$322*$C$168*1000</f>
        <v>1696740.9804670068</v>
      </c>
    </row>
    <row r="327" spans="2:12" x14ac:dyDescent="0.45">
      <c r="B327" s="41" t="s">
        <v>82</v>
      </c>
      <c r="C327" s="42">
        <f>$C$323*$D$188*1000</f>
        <v>1714203.0179272445</v>
      </c>
      <c r="D327" s="42">
        <f>$D$323*$D$188*1000</f>
        <v>11746214.024779273</v>
      </c>
      <c r="F327" s="41" t="s">
        <v>82</v>
      </c>
      <c r="G327" s="42">
        <f>$G$323*$D$188*1000</f>
        <v>1714203.0179272445</v>
      </c>
      <c r="H327" s="42">
        <f>$H$323*$D$188*1000</f>
        <v>11746214.024779273</v>
      </c>
      <c r="J327" s="41" t="s">
        <v>82</v>
      </c>
      <c r="K327" s="42">
        <f>$K$323*$D$188*1000</f>
        <v>1714203.0179272445</v>
      </c>
      <c r="L327" s="42">
        <f>$L$323*$D$188*1000</f>
        <v>11746214.024779273</v>
      </c>
    </row>
    <row r="328" spans="2:12" x14ac:dyDescent="0.45">
      <c r="B328" s="41" t="s">
        <v>83</v>
      </c>
      <c r="C328" s="42">
        <f>$C$323*$D$189*1000</f>
        <v>539180.05586459453</v>
      </c>
      <c r="D328" s="42">
        <f>$D$323*$D$189*1000</f>
        <v>3694617.4215327264</v>
      </c>
      <c r="F328" s="41" t="s">
        <v>83</v>
      </c>
      <c r="G328" s="42">
        <f>$G$323*$D$189*1000</f>
        <v>539180.05586459453</v>
      </c>
      <c r="H328" s="42">
        <f>$H$323*$D$189*1000</f>
        <v>3694617.4215327264</v>
      </c>
      <c r="J328" s="41" t="s">
        <v>83</v>
      </c>
      <c r="K328" s="42">
        <f>$K$323*$D$189*1000</f>
        <v>539180.05586459453</v>
      </c>
      <c r="L328" s="42">
        <f>$L$323*$D$189*1000</f>
        <v>3694617.4215327264</v>
      </c>
    </row>
    <row r="329" spans="2:12" x14ac:dyDescent="0.45">
      <c r="B329" s="41" t="s">
        <v>84</v>
      </c>
      <c r="C329" s="42">
        <f>$C$323*$D$190*1000</f>
        <v>314040.11767033703</v>
      </c>
      <c r="D329" s="42">
        <f>$D$323*$D$190*1000</f>
        <v>2151893.5598322516</v>
      </c>
      <c r="F329" s="41" t="s">
        <v>84</v>
      </c>
      <c r="G329" s="42">
        <f>$C$323*$D$190*1000</f>
        <v>314040.11767033703</v>
      </c>
      <c r="H329" s="42">
        <f>$H$323*$D$190*1000</f>
        <v>2151893.5598322516</v>
      </c>
      <c r="J329" s="41" t="s">
        <v>84</v>
      </c>
      <c r="K329" s="42">
        <f>$K$323*$D$190*1000</f>
        <v>314040.11767033703</v>
      </c>
      <c r="L329" s="42">
        <f>$L$323*$D$190*1000</f>
        <v>2151893.5598322516</v>
      </c>
    </row>
    <row r="330" spans="2:12" x14ac:dyDescent="0.45">
      <c r="B330" s="41" t="s">
        <v>85</v>
      </c>
      <c r="C330" s="42">
        <f>$C$323*$D$191*1000</f>
        <v>130630.37862812112</v>
      </c>
      <c r="D330" s="42">
        <f>$D$323*$D$191*1000</f>
        <v>895117.07158188417</v>
      </c>
      <c r="F330" s="41" t="s">
        <v>85</v>
      </c>
      <c r="G330" s="42">
        <f>$C$323*$D$191*1000</f>
        <v>130630.37862812112</v>
      </c>
      <c r="H330" s="42">
        <f>$H$323*$D$191*1000</f>
        <v>895117.07158188417</v>
      </c>
      <c r="J330" s="41" t="s">
        <v>85</v>
      </c>
      <c r="K330" s="42">
        <f>$K$323*$D$191*1000</f>
        <v>130630.37862812112</v>
      </c>
      <c r="L330" s="42">
        <f>$L$323*$D$191*1000</f>
        <v>895117.07158188417</v>
      </c>
    </row>
    <row r="331" spans="2:12" x14ac:dyDescent="0.45">
      <c r="B331" s="41" t="s">
        <v>86</v>
      </c>
      <c r="C331" s="42">
        <f>$C$323*$D$192*1000</f>
        <v>141946.42990970303</v>
      </c>
      <c r="D331" s="42">
        <f>$D$323*$D$192*1000</f>
        <v>972657.92227386462</v>
      </c>
      <c r="F331" s="41" t="s">
        <v>86</v>
      </c>
      <c r="G331" s="42">
        <f>$C$323*$D$192*1000</f>
        <v>141946.42990970303</v>
      </c>
      <c r="H331" s="42">
        <f>$H$323*$D$192*1000</f>
        <v>972657.92227386462</v>
      </c>
      <c r="J331" s="41" t="s">
        <v>86</v>
      </c>
      <c r="K331" s="42">
        <f>$K$323*$D$192*1000</f>
        <v>141946.42990970303</v>
      </c>
      <c r="L331" s="42">
        <f>$L$323*$D$192*1000</f>
        <v>972657.92227386462</v>
      </c>
    </row>
    <row r="332" spans="2:12" x14ac:dyDescent="0.45">
      <c r="B332" s="41" t="s">
        <v>87</v>
      </c>
      <c r="C332" s="42">
        <f>$C$324*$I$117*1000</f>
        <v>212869.74557966206</v>
      </c>
      <c r="D332" s="42">
        <f>$D$324*$I$168*1000</f>
        <v>10546945.687066747</v>
      </c>
      <c r="F332" s="41" t="s">
        <v>87</v>
      </c>
      <c r="G332" s="42">
        <f>$C$324*$I$117*1000</f>
        <v>212869.74557966206</v>
      </c>
      <c r="H332" s="42">
        <f>$H$324*$I$168*1000</f>
        <v>10546945.687066747</v>
      </c>
      <c r="J332" s="41" t="s">
        <v>87</v>
      </c>
      <c r="K332" s="42">
        <f>$K$324*$I$117*1000</f>
        <v>212869.74557966206</v>
      </c>
      <c r="L332" s="42">
        <f>$L$324*$I$168*1000</f>
        <v>10546945.687066747</v>
      </c>
    </row>
    <row r="333" spans="2:12" x14ac:dyDescent="0.45">
      <c r="B333" s="41" t="s">
        <v>88</v>
      </c>
      <c r="C333" s="42">
        <f>$C$324*$J$117*1000</f>
        <v>474236.98813055345</v>
      </c>
      <c r="D333" s="42">
        <f>$D$324*$J$168*1000</f>
        <v>21426420.999647669</v>
      </c>
      <c r="F333" s="41" t="s">
        <v>88</v>
      </c>
      <c r="G333" s="42">
        <f>$C$324*$J$117*1000</f>
        <v>474236.98813055345</v>
      </c>
      <c r="H333" s="42">
        <f>$H$324*$J$168*1000</f>
        <v>21426420.999647669</v>
      </c>
      <c r="J333" s="41" t="s">
        <v>88</v>
      </c>
      <c r="K333" s="42">
        <f>$K$324*$J$117*1000</f>
        <v>474236.98813055345</v>
      </c>
      <c r="L333" s="42">
        <f>$L$324*$J$168*1000</f>
        <v>21426420.999647669</v>
      </c>
    </row>
    <row r="334" spans="2:12" x14ac:dyDescent="0.45">
      <c r="B334" s="41" t="s">
        <v>89</v>
      </c>
      <c r="C334" s="42">
        <f>$C$324*$K$117*1000</f>
        <v>5691842.5765918624</v>
      </c>
      <c r="D334" s="42">
        <f>$D$324*$K$168*1000</f>
        <v>38875856.57188797</v>
      </c>
      <c r="F334" s="41" t="s">
        <v>89</v>
      </c>
      <c r="G334" s="42">
        <f>$C$324*$K$117*1000</f>
        <v>5691842.5765918624</v>
      </c>
      <c r="H334" s="42">
        <f>$H$324*$K$168*1000</f>
        <v>38875856.57188797</v>
      </c>
      <c r="J334" s="41" t="s">
        <v>89</v>
      </c>
      <c r="K334" s="42">
        <f>$K$324*$K$117*1000</f>
        <v>5691842.5765918624</v>
      </c>
      <c r="L334" s="42">
        <f>$L$324*$K$168*1000</f>
        <v>38875856.57188797</v>
      </c>
    </row>
    <row r="335" spans="2:12" x14ac:dyDescent="0.45">
      <c r="B335" s="41" t="s">
        <v>90</v>
      </c>
      <c r="C335" s="42">
        <f>$C$324*$L$117*1000</f>
        <v>3395550.6896979194</v>
      </c>
      <c r="D335" s="42">
        <f>$D$324*$L$168*1000</f>
        <v>14823276.741397623</v>
      </c>
      <c r="F335" s="41" t="s">
        <v>90</v>
      </c>
      <c r="G335" s="42">
        <f>$C$324*$L$117*1000</f>
        <v>3395550.6896979194</v>
      </c>
      <c r="H335" s="42">
        <f>$H$324*$L$168*1000</f>
        <v>14823276.741397623</v>
      </c>
      <c r="J335" s="41" t="s">
        <v>90</v>
      </c>
      <c r="K335" s="42">
        <f>$K$324*$L$117*1000</f>
        <v>3395550.6896979194</v>
      </c>
      <c r="L335" s="42">
        <f>$L$324*$L$168*1000</f>
        <v>14823276.741397623</v>
      </c>
    </row>
  </sheetData>
  <mergeCells count="17">
    <mergeCell ref="I288:O288"/>
    <mergeCell ref="B320:D320"/>
    <mergeCell ref="F320:H320"/>
    <mergeCell ref="J320:L320"/>
    <mergeCell ref="B299:D299"/>
    <mergeCell ref="F299:H299"/>
    <mergeCell ref="J299:L299"/>
    <mergeCell ref="A281:G281"/>
    <mergeCell ref="A282:A283"/>
    <mergeCell ref="B282:D282"/>
    <mergeCell ref="E282:G282"/>
    <mergeCell ref="A288:G288"/>
    <mergeCell ref="B246:E246"/>
    <mergeCell ref="B274:D274"/>
    <mergeCell ref="E274:G274"/>
    <mergeCell ref="A273:G273"/>
    <mergeCell ref="A274:A275"/>
  </mergeCells>
  <phoneticPr fontId="11" type="noConversion"/>
  <hyperlinks>
    <hyperlink ref="C1" r:id="rId2" display="https://doi.org/10.2790/39014" xr:uid="{00000000-0004-0000-0600-000000000000}"/>
  </hyperlinks>
  <pageMargins left="0.7" right="0.7" top="0.75" bottom="0.75" header="0.3" footer="0.3"/>
  <pageSetup paperSize="9" orientation="portrait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3:X334"/>
  <sheetViews>
    <sheetView topLeftCell="I300" zoomScale="85" zoomScaleNormal="85" workbookViewId="0">
      <selection activeCell="P287" sqref="P287:P334"/>
    </sheetView>
  </sheetViews>
  <sheetFormatPr defaultRowHeight="14.25" x14ac:dyDescent="0.45"/>
  <cols>
    <col min="2" max="2" width="9" customWidth="1"/>
    <col min="4" max="4" width="10.86328125" customWidth="1"/>
    <col min="7" max="7" width="11.73046875" customWidth="1"/>
    <col min="11" max="11" width="19.1328125" bestFit="1" customWidth="1"/>
    <col min="20" max="20" width="24" customWidth="1"/>
  </cols>
  <sheetData>
    <row r="3" spans="2:14" ht="51" thickBot="1" x14ac:dyDescent="0.5">
      <c r="B3" s="30" t="s">
        <v>259</v>
      </c>
      <c r="C3" s="31">
        <v>1.9315109989336148</v>
      </c>
      <c r="D3" s="31">
        <v>1.9315109989336148</v>
      </c>
      <c r="E3" s="31">
        <v>1.9315109989336148</v>
      </c>
      <c r="F3" t="s">
        <v>261</v>
      </c>
    </row>
    <row r="4" spans="2:14" ht="40.9" thickBot="1" x14ac:dyDescent="0.5">
      <c r="B4" s="30" t="s">
        <v>260</v>
      </c>
      <c r="C4" s="32">
        <v>7.1257198714652387E-2</v>
      </c>
      <c r="D4" s="32">
        <v>7.1257198714652387E-2</v>
      </c>
      <c r="E4" s="32">
        <v>7.1257198714652387E-2</v>
      </c>
    </row>
    <row r="9" spans="2:14" x14ac:dyDescent="0.45">
      <c r="L9" t="s">
        <v>266</v>
      </c>
    </row>
    <row r="10" spans="2:14" x14ac:dyDescent="0.45">
      <c r="E10" t="s">
        <v>265</v>
      </c>
      <c r="L10" t="s">
        <v>440</v>
      </c>
      <c r="M10" t="s">
        <v>441</v>
      </c>
      <c r="N10" t="s">
        <v>442</v>
      </c>
    </row>
    <row r="11" spans="2:14" x14ac:dyDescent="0.45">
      <c r="D11" s="15"/>
      <c r="E11" s="15" t="s">
        <v>232</v>
      </c>
      <c r="F11" s="15" t="s">
        <v>233</v>
      </c>
      <c r="G11" s="15" t="s">
        <v>235</v>
      </c>
      <c r="H11" s="125" t="s">
        <v>236</v>
      </c>
      <c r="K11" t="s">
        <v>267</v>
      </c>
      <c r="L11" s="2">
        <f>$E$3/$D$24</f>
        <v>0.15915403058276525</v>
      </c>
      <c r="M11" s="2">
        <f>$E$4/$D$24*H13</f>
        <v>5.7095014098558412</v>
      </c>
      <c r="N11">
        <f>M11*13</f>
        <v>74.223518328125934</v>
      </c>
    </row>
    <row r="12" spans="2:14" x14ac:dyDescent="0.45">
      <c r="D12" s="15"/>
      <c r="E12" s="15" t="s">
        <v>262</v>
      </c>
      <c r="F12" s="15" t="s">
        <v>263</v>
      </c>
      <c r="G12" s="15">
        <v>848321.11558500701</v>
      </c>
      <c r="H12">
        <f>G12/1000</f>
        <v>848.32111558500696</v>
      </c>
      <c r="K12" t="s">
        <v>268</v>
      </c>
      <c r="L12" s="2">
        <f>$E$3/$D$24</f>
        <v>0.15915403058276525</v>
      </c>
      <c r="M12" s="2">
        <f>$E$4/$D$24*H15</f>
        <v>1.3533667196176042</v>
      </c>
      <c r="N12">
        <f>M12*13</f>
        <v>17.593767355028856</v>
      </c>
    </row>
    <row r="13" spans="2:14" x14ac:dyDescent="0.45">
      <c r="D13" s="15"/>
      <c r="E13" s="15" t="s">
        <v>262</v>
      </c>
      <c r="F13" s="15" t="s">
        <v>264</v>
      </c>
      <c r="G13" s="15">
        <v>972409.03023048397</v>
      </c>
      <c r="H13">
        <f t="shared" ref="H13:H17" si="0">G13/1000</f>
        <v>972.40903023048395</v>
      </c>
      <c r="K13" t="s">
        <v>269</v>
      </c>
      <c r="L13" s="2">
        <f>$E$3/$G$30</f>
        <v>0.21763504213336504</v>
      </c>
      <c r="M13" s="2">
        <f>$E$4/$G$30*H14</f>
        <v>6.8111533867128378</v>
      </c>
      <c r="N13">
        <f t="shared" ref="N13:N19" si="1">M13*13</f>
        <v>88.544994027266895</v>
      </c>
    </row>
    <row r="14" spans="2:14" x14ac:dyDescent="0.45">
      <c r="D14" s="15"/>
      <c r="E14" s="15" t="s">
        <v>263</v>
      </c>
      <c r="F14" s="15" t="s">
        <v>262</v>
      </c>
      <c r="G14" s="15">
        <v>848321.11558500701</v>
      </c>
      <c r="H14">
        <f t="shared" si="0"/>
        <v>848.32111558500696</v>
      </c>
      <c r="K14" t="s">
        <v>270</v>
      </c>
      <c r="L14" s="2">
        <f>$E$3/$H$30</f>
        <v>0.35118381798792997</v>
      </c>
      <c r="M14" s="2">
        <f>$E$4/$H$30*H13</f>
        <v>12.598389727101093</v>
      </c>
      <c r="N14">
        <f t="shared" si="1"/>
        <v>163.77906645231423</v>
      </c>
    </row>
    <row r="15" spans="2:14" x14ac:dyDescent="0.45">
      <c r="D15" s="15"/>
      <c r="E15" s="15" t="s">
        <v>263</v>
      </c>
      <c r="F15" s="15" t="s">
        <v>264</v>
      </c>
      <c r="G15" s="15">
        <v>230497.538208471</v>
      </c>
      <c r="H15">
        <f t="shared" si="0"/>
        <v>230.49753820847101</v>
      </c>
      <c r="K15" t="s">
        <v>271</v>
      </c>
      <c r="L15" s="2">
        <f>$E$3/$G$30</f>
        <v>0.21763504213336504</v>
      </c>
      <c r="M15" s="2">
        <f>$E$4/$G$30*H16</f>
        <v>7.807452788626029</v>
      </c>
      <c r="N15">
        <f t="shared" si="1"/>
        <v>101.49688625213838</v>
      </c>
    </row>
    <row r="16" spans="2:14" x14ac:dyDescent="0.45">
      <c r="D16" s="15"/>
      <c r="E16" s="15" t="s">
        <v>264</v>
      </c>
      <c r="F16" s="15" t="s">
        <v>262</v>
      </c>
      <c r="G16" s="15">
        <v>972409.03023048397</v>
      </c>
      <c r="H16">
        <f t="shared" si="0"/>
        <v>972.40903023048395</v>
      </c>
      <c r="K16" t="s">
        <v>272</v>
      </c>
      <c r="L16" s="2">
        <f>$E$3/$H$30</f>
        <v>0.35118381798792997</v>
      </c>
      <c r="M16" s="2">
        <f>$E$4/$H$30*H14</f>
        <v>10.990724783104806</v>
      </c>
      <c r="N16">
        <f t="shared" si="1"/>
        <v>142.87942218036247</v>
      </c>
    </row>
    <row r="17" spans="2:17" x14ac:dyDescent="0.45">
      <c r="D17" s="15"/>
      <c r="E17" s="15" t="s">
        <v>264</v>
      </c>
      <c r="F17" s="15" t="s">
        <v>263</v>
      </c>
      <c r="G17" s="15">
        <v>230497.538208471</v>
      </c>
      <c r="H17">
        <f t="shared" si="0"/>
        <v>230.49753820847101</v>
      </c>
      <c r="K17" t="s">
        <v>273</v>
      </c>
      <c r="L17" s="2">
        <f>$E$3/$G$30</f>
        <v>0.21763504213336504</v>
      </c>
      <c r="M17" s="2">
        <f>$E$4/$G$30*H17</f>
        <v>1.850660155871459</v>
      </c>
      <c r="N17">
        <f t="shared" si="1"/>
        <v>24.058582026328967</v>
      </c>
    </row>
    <row r="18" spans="2:17" x14ac:dyDescent="0.45">
      <c r="K18" t="s">
        <v>274</v>
      </c>
      <c r="L18" s="2">
        <f>$E$3/$D$24</f>
        <v>0.15915403058276525</v>
      </c>
      <c r="M18" s="2">
        <f>$E$4/$D$24*H14</f>
        <v>4.9809189907410207</v>
      </c>
      <c r="N18">
        <f t="shared" si="1"/>
        <v>64.751946879633266</v>
      </c>
    </row>
    <row r="19" spans="2:17" x14ac:dyDescent="0.45">
      <c r="K19" t="s">
        <v>275</v>
      </c>
      <c r="L19" s="2">
        <f>$E$3/$H$30</f>
        <v>0.35118381798792997</v>
      </c>
      <c r="M19" s="2">
        <f>$E$4/$H$30*H17</f>
        <v>2.9862925242471272</v>
      </c>
      <c r="N19">
        <f t="shared" si="1"/>
        <v>38.821802815212656</v>
      </c>
    </row>
    <row r="21" spans="2:17" x14ac:dyDescent="0.45">
      <c r="B21" s="12"/>
    </row>
    <row r="23" spans="2:17" x14ac:dyDescent="0.45">
      <c r="B23" t="s">
        <v>276</v>
      </c>
      <c r="C23" t="s">
        <v>281</v>
      </c>
      <c r="D23" t="s">
        <v>282</v>
      </c>
      <c r="E23" t="s">
        <v>723</v>
      </c>
      <c r="F23" t="s">
        <v>290</v>
      </c>
      <c r="G23" t="s">
        <v>289</v>
      </c>
      <c r="H23" t="s">
        <v>291</v>
      </c>
    </row>
    <row r="24" spans="2:17" x14ac:dyDescent="0.45">
      <c r="B24" t="s">
        <v>283</v>
      </c>
      <c r="C24">
        <f>43.69</f>
        <v>43.69</v>
      </c>
      <c r="D24" s="6">
        <f t="shared" ref="D24:D29" si="2">C24/3.6</f>
        <v>12.136111111111109</v>
      </c>
      <c r="F24" t="s">
        <v>287</v>
      </c>
      <c r="G24" t="s">
        <v>288</v>
      </c>
      <c r="H24" t="s">
        <v>288</v>
      </c>
    </row>
    <row r="25" spans="2:17" x14ac:dyDescent="0.45">
      <c r="B25" t="s">
        <v>277</v>
      </c>
      <c r="C25">
        <f>42.91</f>
        <v>42.91</v>
      </c>
      <c r="D25" s="6">
        <f t="shared" si="2"/>
        <v>11.919444444444443</v>
      </c>
      <c r="F25" t="s">
        <v>288</v>
      </c>
      <c r="G25" t="s">
        <v>288</v>
      </c>
      <c r="H25" t="s">
        <v>288</v>
      </c>
    </row>
    <row r="26" spans="2:17" x14ac:dyDescent="0.45">
      <c r="B26" t="s">
        <v>278</v>
      </c>
      <c r="C26">
        <v>19.899999999999999</v>
      </c>
      <c r="D26" s="6">
        <f t="shared" si="2"/>
        <v>5.5277777777777777</v>
      </c>
      <c r="F26" t="s">
        <v>288</v>
      </c>
      <c r="G26" t="s">
        <v>287</v>
      </c>
      <c r="H26" t="s">
        <v>287</v>
      </c>
    </row>
    <row r="27" spans="2:17" x14ac:dyDescent="0.45">
      <c r="B27" t="s">
        <v>73</v>
      </c>
      <c r="C27">
        <v>22.5</v>
      </c>
      <c r="D27" s="6">
        <f t="shared" si="2"/>
        <v>6.25</v>
      </c>
      <c r="F27" t="s">
        <v>288</v>
      </c>
      <c r="G27" t="s">
        <v>288</v>
      </c>
      <c r="H27" t="s">
        <v>287</v>
      </c>
    </row>
    <row r="28" spans="2:17" x14ac:dyDescent="0.45">
      <c r="B28" t="s">
        <v>824</v>
      </c>
      <c r="C28">
        <f>(43.2+44.8)/2</f>
        <v>44</v>
      </c>
      <c r="D28" s="6">
        <f t="shared" si="2"/>
        <v>12.222222222222221</v>
      </c>
      <c r="F28" t="s">
        <v>288</v>
      </c>
      <c r="G28" t="s">
        <v>287</v>
      </c>
      <c r="H28" t="s">
        <v>288</v>
      </c>
      <c r="M28" t="s">
        <v>283</v>
      </c>
      <c r="N28" t="s">
        <v>278</v>
      </c>
      <c r="O28" t="s">
        <v>73</v>
      </c>
      <c r="P28" t="s">
        <v>824</v>
      </c>
      <c r="Q28" t="s">
        <v>280</v>
      </c>
    </row>
    <row r="29" spans="2:17" x14ac:dyDescent="0.45">
      <c r="B29" t="s">
        <v>280</v>
      </c>
      <c r="C29">
        <f>(12+22)/2</f>
        <v>17</v>
      </c>
      <c r="D29" s="6">
        <f t="shared" si="2"/>
        <v>4.7222222222222223</v>
      </c>
      <c r="F29" t="s">
        <v>288</v>
      </c>
      <c r="G29" t="s">
        <v>288</v>
      </c>
      <c r="H29" t="s">
        <v>287</v>
      </c>
      <c r="L29" t="s">
        <v>282</v>
      </c>
      <c r="M29">
        <v>12.136111111111109</v>
      </c>
      <c r="N29">
        <v>5.5277777777777777</v>
      </c>
      <c r="O29">
        <v>6.25</v>
      </c>
      <c r="P29">
        <v>12.222222222222221</v>
      </c>
      <c r="Q29">
        <v>4.7222222222222223</v>
      </c>
    </row>
    <row r="30" spans="2:17" x14ac:dyDescent="0.45">
      <c r="B30" t="s">
        <v>292</v>
      </c>
      <c r="F30" s="6">
        <f>D24</f>
        <v>12.136111111111109</v>
      </c>
      <c r="G30" s="6">
        <f>AVERAGE(D28,D26)</f>
        <v>8.875</v>
      </c>
      <c r="H30" s="6">
        <f>AVERAGE(D29,D26:D27)</f>
        <v>5.5</v>
      </c>
    </row>
    <row r="31" spans="2:17" x14ac:dyDescent="0.45">
      <c r="F31">
        <f>E4/F30</f>
        <v>5.8715018396142968E-3</v>
      </c>
      <c r="G31">
        <f>E4/G30</f>
        <v>8.0289801368622401E-3</v>
      </c>
      <c r="H31">
        <f>E4/H30</f>
        <v>1.2955854311754979E-2</v>
      </c>
    </row>
    <row r="32" spans="2:17" x14ac:dyDescent="0.45">
      <c r="B32" t="s">
        <v>284</v>
      </c>
      <c r="F32">
        <f>F31*1000</f>
        <v>5.8715018396142966</v>
      </c>
      <c r="G32">
        <f>G31*1000</f>
        <v>8.0289801368622395</v>
      </c>
      <c r="H32">
        <f>H31*1000</f>
        <v>12.95585431175498</v>
      </c>
    </row>
    <row r="33" spans="1:14" x14ac:dyDescent="0.45">
      <c r="B33" s="136" t="s">
        <v>285</v>
      </c>
    </row>
    <row r="34" spans="1:14" x14ac:dyDescent="0.45">
      <c r="B34" t="s">
        <v>286</v>
      </c>
    </row>
    <row r="39" spans="1:14" s="80" customFormat="1" x14ac:dyDescent="0.45">
      <c r="A39" s="80" t="s">
        <v>618</v>
      </c>
    </row>
    <row r="40" spans="1:14" x14ac:dyDescent="0.45">
      <c r="E40" t="s">
        <v>584</v>
      </c>
      <c r="F40" t="s">
        <v>236</v>
      </c>
      <c r="G40" t="s">
        <v>583</v>
      </c>
      <c r="H40" t="s">
        <v>327</v>
      </c>
    </row>
    <row r="41" spans="1:14" x14ac:dyDescent="0.45">
      <c r="A41" t="s">
        <v>537</v>
      </c>
      <c r="B41" t="s">
        <v>567</v>
      </c>
      <c r="C41" t="s">
        <v>585</v>
      </c>
      <c r="D41" t="s">
        <v>526</v>
      </c>
      <c r="E41" s="79">
        <f t="shared" ref="E41:E56" si="3">G41*13</f>
        <v>13.694868933067736</v>
      </c>
      <c r="F41" s="2">
        <f>VLOOKUP(H41,'[1]Biomass Costs'!$D$64:$G$173,2,FALSE)</f>
        <v>179.41771716434101</v>
      </c>
      <c r="G41" s="3">
        <f>$E$4/$D$24*F41</f>
        <v>1.0534514563898258</v>
      </c>
      <c r="H41" t="s">
        <v>329</v>
      </c>
      <c r="I41">
        <v>1</v>
      </c>
    </row>
    <row r="42" spans="1:14" x14ac:dyDescent="0.45">
      <c r="A42" t="s">
        <v>537</v>
      </c>
      <c r="B42" t="s">
        <v>568</v>
      </c>
      <c r="C42" t="s">
        <v>585</v>
      </c>
      <c r="D42" t="s">
        <v>526</v>
      </c>
      <c r="E42" s="79">
        <f t="shared" si="3"/>
        <v>27.714454866634185</v>
      </c>
      <c r="F42" s="2">
        <f>VLOOKUP(H42,'[1]Biomass Costs'!$D$64:$G$173,2,FALSE)</f>
        <v>363.08958113641501</v>
      </c>
      <c r="G42" s="3">
        <f t="shared" ref="G42:G56" si="4">$E$4/$D$24*F42</f>
        <v>2.1318811435872451</v>
      </c>
      <c r="H42" t="s">
        <v>340</v>
      </c>
      <c r="I42">
        <v>2</v>
      </c>
      <c r="K42" s="15" t="s">
        <v>1046</v>
      </c>
      <c r="L42" s="15" t="s">
        <v>516</v>
      </c>
      <c r="M42" s="15" t="s">
        <v>518</v>
      </c>
      <c r="N42" s="15" t="s">
        <v>520</v>
      </c>
    </row>
    <row r="43" spans="1:14" x14ac:dyDescent="0.45">
      <c r="A43" t="s">
        <v>537</v>
      </c>
      <c r="B43" t="s">
        <v>569</v>
      </c>
      <c r="C43" t="s">
        <v>585</v>
      </c>
      <c r="D43" t="s">
        <v>526</v>
      </c>
      <c r="E43" s="79">
        <f t="shared" si="3"/>
        <v>47.01019677069668</v>
      </c>
      <c r="F43" s="2">
        <f>VLOOKUP(H43,'[1]Biomass Costs'!$D$64:$G$173,2,FALSE)</f>
        <v>615.88484192637702</v>
      </c>
      <c r="G43" s="3">
        <f t="shared" si="4"/>
        <v>3.616168982361283</v>
      </c>
      <c r="H43" t="s">
        <v>335</v>
      </c>
      <c r="I43">
        <v>3</v>
      </c>
      <c r="K43" s="15">
        <v>6</v>
      </c>
      <c r="L43" s="15">
        <v>6</v>
      </c>
      <c r="M43" s="15" t="s">
        <v>358</v>
      </c>
      <c r="N43" s="15">
        <v>320479.86732844199</v>
      </c>
    </row>
    <row r="44" spans="1:14" x14ac:dyDescent="0.45">
      <c r="A44" t="s">
        <v>537</v>
      </c>
      <c r="B44" t="s">
        <v>570</v>
      </c>
      <c r="C44" t="s">
        <v>585</v>
      </c>
      <c r="D44" t="s">
        <v>526</v>
      </c>
      <c r="E44" s="79">
        <f t="shared" si="3"/>
        <v>16.96218129002521</v>
      </c>
      <c r="F44" s="2">
        <f>VLOOKUP(H44,'[1]Biomass Costs'!$D$64:$G$173,2,FALSE)</f>
        <v>222.22307201755001</v>
      </c>
      <c r="G44" s="3">
        <f t="shared" si="4"/>
        <v>1.3047831761557853</v>
      </c>
      <c r="H44" t="s">
        <v>332</v>
      </c>
      <c r="I44">
        <v>4</v>
      </c>
      <c r="K44" s="15">
        <v>8</v>
      </c>
      <c r="L44" s="15">
        <v>8</v>
      </c>
      <c r="M44" s="15" t="s">
        <v>368</v>
      </c>
      <c r="N44" s="15">
        <v>461257.57895980898</v>
      </c>
    </row>
    <row r="45" spans="1:14" x14ac:dyDescent="0.45">
      <c r="A45" t="s">
        <v>537</v>
      </c>
      <c r="B45" t="s">
        <v>571</v>
      </c>
      <c r="C45" t="s">
        <v>585</v>
      </c>
      <c r="D45" t="s">
        <v>526</v>
      </c>
      <c r="E45" s="79">
        <f t="shared" si="3"/>
        <v>19.775121434893769</v>
      </c>
      <c r="F45" s="2">
        <f>VLOOKUP(H45,'[1]Biomass Costs'!$D$64:$G$173,2,FALSE)</f>
        <v>259.07565540325999</v>
      </c>
      <c r="G45" s="3">
        <f t="shared" si="4"/>
        <v>1.5211631872995206</v>
      </c>
      <c r="H45" t="s">
        <v>406</v>
      </c>
      <c r="I45">
        <v>5</v>
      </c>
      <c r="K45" s="15">
        <v>7</v>
      </c>
      <c r="L45" s="15">
        <v>7</v>
      </c>
      <c r="M45" s="15" t="s">
        <v>365</v>
      </c>
      <c r="N45" s="15">
        <v>288798.75526960799</v>
      </c>
    </row>
    <row r="46" spans="1:14" x14ac:dyDescent="0.45">
      <c r="A46" t="s">
        <v>537</v>
      </c>
      <c r="B46" t="s">
        <v>572</v>
      </c>
      <c r="C46" t="s">
        <v>585</v>
      </c>
      <c r="D46" t="s">
        <v>526</v>
      </c>
      <c r="E46" s="79">
        <f t="shared" si="3"/>
        <v>16.587496656054618</v>
      </c>
      <c r="F46" s="2">
        <f>VLOOKUP(H46,'[1]Biomass Costs'!$D$64:$G$173,2,FALSE)</f>
        <v>217.31429472204499</v>
      </c>
      <c r="G46" s="3">
        <f t="shared" si="4"/>
        <v>1.2759612812349705</v>
      </c>
      <c r="H46" t="s">
        <v>404</v>
      </c>
      <c r="I46">
        <v>6</v>
      </c>
      <c r="K46" s="15">
        <v>9</v>
      </c>
      <c r="L46" s="15">
        <v>8</v>
      </c>
      <c r="M46" s="15" t="s">
        <v>370</v>
      </c>
      <c r="N46" s="15">
        <v>405357.163642734</v>
      </c>
    </row>
    <row r="47" spans="1:14" x14ac:dyDescent="0.45">
      <c r="A47" t="s">
        <v>537</v>
      </c>
      <c r="B47" t="s">
        <v>573</v>
      </c>
      <c r="C47" t="s">
        <v>585</v>
      </c>
      <c r="D47" t="s">
        <v>526</v>
      </c>
      <c r="E47" s="79">
        <f t="shared" si="3"/>
        <v>17.745090488492909</v>
      </c>
      <c r="F47" s="2">
        <f>VLOOKUP(H47,'[1]Biomass Costs'!$D$64:$G$173,2,FALSE)</f>
        <v>232.48003627347398</v>
      </c>
      <c r="G47" s="3">
        <f t="shared" si="4"/>
        <v>1.3650069606533008</v>
      </c>
      <c r="H47" t="s">
        <v>394</v>
      </c>
      <c r="I47">
        <v>7</v>
      </c>
      <c r="K47" s="15">
        <v>10</v>
      </c>
      <c r="L47" s="15">
        <v>9</v>
      </c>
      <c r="M47" s="15" t="s">
        <v>385</v>
      </c>
      <c r="N47" s="15">
        <v>263352.08835371898</v>
      </c>
    </row>
    <row r="48" spans="1:14" x14ac:dyDescent="0.45">
      <c r="A48" t="s">
        <v>537</v>
      </c>
      <c r="B48" t="s">
        <v>574</v>
      </c>
      <c r="C48" t="s">
        <v>585</v>
      </c>
      <c r="D48" t="s">
        <v>526</v>
      </c>
      <c r="E48" s="79">
        <f t="shared" si="3"/>
        <v>17.171049365790793</v>
      </c>
      <c r="F48" s="2">
        <f>VLOOKUP(H48,'[1]Biomass Costs'!$D$64:$G$173,2,FALSE)</f>
        <v>224.95947157898601</v>
      </c>
      <c r="G48" s="3">
        <f t="shared" si="4"/>
        <v>1.3208499512146765</v>
      </c>
      <c r="H48" t="s">
        <v>393</v>
      </c>
      <c r="K48" s="15">
        <v>19</v>
      </c>
      <c r="L48" s="15">
        <v>14</v>
      </c>
      <c r="M48" s="15" t="s">
        <v>416</v>
      </c>
      <c r="N48" s="15">
        <v>296345.49050928099</v>
      </c>
    </row>
    <row r="49" spans="1:15" x14ac:dyDescent="0.45">
      <c r="A49" t="s">
        <v>537</v>
      </c>
      <c r="B49" t="s">
        <v>575</v>
      </c>
      <c r="C49" t="s">
        <v>585</v>
      </c>
      <c r="D49" t="s">
        <v>526</v>
      </c>
      <c r="E49" s="79">
        <f t="shared" si="3"/>
        <v>59.84435473146533</v>
      </c>
      <c r="F49" s="2">
        <f>VLOOKUP(H49,'[1]Biomass Costs'!$D$64:$G$173,2,FALSE)</f>
        <v>784.02630675541297</v>
      </c>
      <c r="G49" s="3">
        <f t="shared" si="4"/>
        <v>4.6034119024204099</v>
      </c>
      <c r="H49" t="s">
        <v>426</v>
      </c>
      <c r="K49" s="15">
        <v>11</v>
      </c>
      <c r="L49" s="15">
        <v>10</v>
      </c>
      <c r="M49" s="15" t="s">
        <v>436</v>
      </c>
      <c r="N49" s="15">
        <v>759670.21327135398</v>
      </c>
    </row>
    <row r="50" spans="1:15" x14ac:dyDescent="0.45">
      <c r="A50" t="s">
        <v>537</v>
      </c>
      <c r="B50" t="s">
        <v>576</v>
      </c>
      <c r="C50" t="s">
        <v>585</v>
      </c>
      <c r="D50" t="s">
        <v>526</v>
      </c>
      <c r="E50" s="79">
        <f t="shared" si="3"/>
        <v>22.285555691270968</v>
      </c>
      <c r="F50" s="2">
        <f>VLOOKUP(H50,'[1]Biomass Costs'!$D$64:$G$173,2,FALSE)</f>
        <v>291.96508176956701</v>
      </c>
      <c r="G50" s="3">
        <f t="shared" si="4"/>
        <v>1.7142735147131514</v>
      </c>
      <c r="H50" t="s">
        <v>416</v>
      </c>
      <c r="K50" s="15">
        <v>13</v>
      </c>
      <c r="L50" s="15">
        <v>11</v>
      </c>
      <c r="M50" s="15" t="s">
        <v>427</v>
      </c>
      <c r="N50" s="15">
        <v>282614.65620750602</v>
      </c>
    </row>
    <row r="51" spans="1:15" x14ac:dyDescent="0.45">
      <c r="A51" t="s">
        <v>537</v>
      </c>
      <c r="B51" t="s">
        <v>577</v>
      </c>
      <c r="C51" t="s">
        <v>585</v>
      </c>
      <c r="D51" t="s">
        <v>526</v>
      </c>
      <c r="E51" s="79">
        <f t="shared" si="3"/>
        <v>17.761808310740342</v>
      </c>
      <c r="F51" s="2">
        <f>VLOOKUP(H51,'[1]Biomass Costs'!$D$64:$G$173,2,FALSE)</f>
        <v>232.699057975562</v>
      </c>
      <c r="G51" s="3">
        <f t="shared" si="4"/>
        <v>1.3662929469800262</v>
      </c>
      <c r="H51" t="s">
        <v>385</v>
      </c>
      <c r="K51" s="15">
        <v>12</v>
      </c>
      <c r="L51" s="15">
        <v>10</v>
      </c>
      <c r="M51" s="15" t="s">
        <v>420</v>
      </c>
      <c r="N51" s="15">
        <v>595843.373818147</v>
      </c>
      <c r="O51" t="s">
        <v>1047</v>
      </c>
    </row>
    <row r="52" spans="1:15" x14ac:dyDescent="0.45">
      <c r="A52" t="s">
        <v>537</v>
      </c>
      <c r="B52" t="s">
        <v>578</v>
      </c>
      <c r="C52" t="s">
        <v>585</v>
      </c>
      <c r="D52" t="s">
        <v>526</v>
      </c>
      <c r="E52" s="79">
        <f t="shared" si="3"/>
        <v>22.46612224744867</v>
      </c>
      <c r="F52" s="2">
        <f>VLOOKUP(H52,'[1]Biomass Costs'!$D$64:$G$173,2,FALSE)</f>
        <v>294.33070056182902</v>
      </c>
      <c r="G52" s="3">
        <f t="shared" si="4"/>
        <v>1.7281632498037438</v>
      </c>
      <c r="H52" t="s">
        <v>377</v>
      </c>
      <c r="K52" s="15">
        <v>17</v>
      </c>
      <c r="L52" s="15">
        <v>15</v>
      </c>
      <c r="M52" s="15" t="s">
        <v>393</v>
      </c>
      <c r="N52" s="15">
        <v>226292.200843022</v>
      </c>
    </row>
    <row r="53" spans="1:15" x14ac:dyDescent="0.45">
      <c r="A53" t="s">
        <v>537</v>
      </c>
      <c r="B53" t="s">
        <v>579</v>
      </c>
      <c r="C53" t="s">
        <v>585</v>
      </c>
      <c r="D53" t="s">
        <v>526</v>
      </c>
      <c r="E53" s="79">
        <f t="shared" si="3"/>
        <v>31.0475521759613</v>
      </c>
      <c r="F53" s="2">
        <f>VLOOKUP(H53,'[1]Biomass Costs'!$D$64:$G$173,2,FALSE)</f>
        <v>406.75679060361205</v>
      </c>
      <c r="G53" s="3">
        <f>$E$4/$D$24*F53</f>
        <v>2.3882732443047154</v>
      </c>
      <c r="H53" t="s">
        <v>370</v>
      </c>
      <c r="K53" s="15">
        <v>16</v>
      </c>
      <c r="L53" s="15">
        <v>7</v>
      </c>
      <c r="M53" s="15" t="s">
        <v>394</v>
      </c>
      <c r="N53" s="15">
        <v>231085.829171324</v>
      </c>
    </row>
    <row r="54" spans="1:15" x14ac:dyDescent="0.45">
      <c r="A54" t="s">
        <v>537</v>
      </c>
      <c r="B54" t="s">
        <v>580</v>
      </c>
      <c r="C54" t="s">
        <v>585</v>
      </c>
      <c r="D54" t="s">
        <v>526</v>
      </c>
      <c r="E54" s="79">
        <f t="shared" si="3"/>
        <v>22.558960986324326</v>
      </c>
      <c r="F54" s="2">
        <f>VLOOKUP(H54,'[1]Biomass Costs'!$D$64:$G$173,2,FALSE)</f>
        <v>295.54698928097599</v>
      </c>
      <c r="G54" s="3">
        <f t="shared" si="4"/>
        <v>1.7353046912557175</v>
      </c>
      <c r="H54" t="s">
        <v>365</v>
      </c>
      <c r="K54" s="15">
        <v>14</v>
      </c>
      <c r="L54" s="15">
        <v>12</v>
      </c>
      <c r="M54" s="15" t="s">
        <v>407</v>
      </c>
      <c r="N54" s="15">
        <v>406639.934154224</v>
      </c>
      <c r="O54" t="s">
        <v>1047</v>
      </c>
    </row>
    <row r="55" spans="1:15" x14ac:dyDescent="0.45">
      <c r="A55" t="s">
        <v>537</v>
      </c>
      <c r="B55" t="s">
        <v>581</v>
      </c>
      <c r="C55" t="s">
        <v>585</v>
      </c>
      <c r="D55" t="s">
        <v>526</v>
      </c>
      <c r="E55" s="79">
        <f t="shared" si="3"/>
        <v>35.33086789054471</v>
      </c>
      <c r="F55" s="2">
        <f>VLOOKUP(H55,'[1]Biomass Costs'!$D$64:$G$173,2,FALSE)</f>
        <v>462.87289738496798</v>
      </c>
      <c r="G55" s="3">
        <f t="shared" si="4"/>
        <v>2.717759068503439</v>
      </c>
      <c r="H55" t="s">
        <v>368</v>
      </c>
      <c r="K55" s="15">
        <v>5</v>
      </c>
      <c r="L55" s="15"/>
      <c r="M55" s="15"/>
      <c r="N55" s="15"/>
    </row>
    <row r="56" spans="1:15" x14ac:dyDescent="0.45">
      <c r="A56" t="s">
        <v>537</v>
      </c>
      <c r="B56" t="s">
        <v>582</v>
      </c>
      <c r="C56" t="s">
        <v>585</v>
      </c>
      <c r="D56" t="s">
        <v>526</v>
      </c>
      <c r="E56" s="79">
        <f t="shared" si="3"/>
        <v>22.912041005004692</v>
      </c>
      <c r="F56" s="2">
        <f>VLOOKUP(H56,'[1]Biomass Costs'!$D$64:$G$173,2,FALSE)</f>
        <v>300.172722556525</v>
      </c>
      <c r="G56" s="3">
        <f t="shared" si="4"/>
        <v>1.7624646926926686</v>
      </c>
      <c r="H56" t="s">
        <v>358</v>
      </c>
      <c r="K56" s="15">
        <v>4</v>
      </c>
      <c r="L56" s="15"/>
      <c r="M56" s="15"/>
      <c r="N56" s="15"/>
    </row>
    <row r="57" spans="1:15" x14ac:dyDescent="0.45">
      <c r="K57" s="15">
        <v>4</v>
      </c>
      <c r="L57" s="15"/>
      <c r="M57" s="15"/>
      <c r="N57" s="15"/>
    </row>
    <row r="58" spans="1:15" x14ac:dyDescent="0.45">
      <c r="K58" s="15">
        <v>3</v>
      </c>
      <c r="L58" s="15"/>
      <c r="M58" s="15"/>
      <c r="N58" s="15"/>
    </row>
    <row r="59" spans="1:15" x14ac:dyDescent="0.45">
      <c r="E59" t="s">
        <v>584</v>
      </c>
      <c r="F59" t="s">
        <v>236</v>
      </c>
      <c r="G59" t="s">
        <v>583</v>
      </c>
      <c r="I59" t="s">
        <v>327</v>
      </c>
      <c r="K59" s="15">
        <v>3</v>
      </c>
      <c r="L59" s="15"/>
      <c r="M59" s="15"/>
      <c r="N59" s="15"/>
    </row>
    <row r="60" spans="1:15" x14ac:dyDescent="0.45">
      <c r="A60" t="s">
        <v>537</v>
      </c>
      <c r="B60" t="s">
        <v>586</v>
      </c>
      <c r="C60" t="s">
        <v>585</v>
      </c>
      <c r="D60" t="s">
        <v>526</v>
      </c>
      <c r="E60" s="79">
        <f t="shared" ref="E60:E75" si="5">G60*13</f>
        <v>18.727036735077597</v>
      </c>
      <c r="F60" s="2">
        <f>VLOOKUP(H60,'[1]Biomass Costs'!$D$64:$G$173,2,FALSE)</f>
        <v>179.41771716434101</v>
      </c>
      <c r="G60" s="3">
        <f t="shared" ref="G60:G75" si="6">$E$4/$G$30*F60</f>
        <v>1.4405412873136614</v>
      </c>
      <c r="H60" t="s">
        <v>329</v>
      </c>
      <c r="K60" s="15">
        <v>2</v>
      </c>
      <c r="L60" s="15"/>
      <c r="M60" s="15"/>
      <c r="N60" s="15"/>
    </row>
    <row r="61" spans="1:15" x14ac:dyDescent="0.45">
      <c r="A61" t="s">
        <v>537</v>
      </c>
      <c r="B61" t="s">
        <v>587</v>
      </c>
      <c r="C61" t="s">
        <v>585</v>
      </c>
      <c r="D61" t="s">
        <v>526</v>
      </c>
      <c r="E61" s="79">
        <f t="shared" si="5"/>
        <v>37.89810745299679</v>
      </c>
      <c r="F61" s="2">
        <f>VLOOKUP(H61,'[1]Biomass Costs'!$D$64:$G$173,2,FALSE)</f>
        <v>363.08958113641501</v>
      </c>
      <c r="G61" s="3">
        <f t="shared" si="6"/>
        <v>2.9152390348459067</v>
      </c>
      <c r="H61" t="s">
        <v>340</v>
      </c>
    </row>
    <row r="62" spans="1:15" x14ac:dyDescent="0.45">
      <c r="A62" t="s">
        <v>537</v>
      </c>
      <c r="B62" t="s">
        <v>588</v>
      </c>
      <c r="C62" t="s">
        <v>585</v>
      </c>
      <c r="D62" t="s">
        <v>526</v>
      </c>
      <c r="E62" s="79">
        <f t="shared" si="5"/>
        <v>64.284053111478485</v>
      </c>
      <c r="F62" s="2">
        <f>VLOOKUP(H62,'[1]Biomass Costs'!$D$64:$G$173,2,FALSE)</f>
        <v>615.88484192637702</v>
      </c>
      <c r="G62" s="3">
        <f>$E$4/$G$30*F62</f>
        <v>4.9449271624214219</v>
      </c>
      <c r="H62" t="s">
        <v>335</v>
      </c>
    </row>
    <row r="63" spans="1:15" x14ac:dyDescent="0.45">
      <c r="A63" t="s">
        <v>537</v>
      </c>
      <c r="B63" t="s">
        <v>589</v>
      </c>
      <c r="C63" t="s">
        <v>585</v>
      </c>
      <c r="D63" t="s">
        <v>526</v>
      </c>
      <c r="E63" s="79">
        <f t="shared" si="5"/>
        <v>23.194920205358407</v>
      </c>
      <c r="F63" s="2">
        <f>VLOOKUP(H63,'[1]Biomass Costs'!$D$64:$G$173,2,FALSE)</f>
        <v>222.22307201755001</v>
      </c>
      <c r="G63" s="3">
        <f t="shared" si="6"/>
        <v>1.7842246311814161</v>
      </c>
      <c r="H63" t="s">
        <v>332</v>
      </c>
    </row>
    <row r="64" spans="1:15" x14ac:dyDescent="0.45">
      <c r="A64" t="s">
        <v>537</v>
      </c>
      <c r="B64" t="s">
        <v>590</v>
      </c>
      <c r="C64" t="s">
        <v>585</v>
      </c>
      <c r="D64" t="s">
        <v>526</v>
      </c>
      <c r="E64" s="79">
        <f t="shared" si="5"/>
        <v>27.04147278530543</v>
      </c>
      <c r="F64" s="2">
        <f>VLOOKUP(H64,'[1]Biomass Costs'!$D$64:$G$173,2,FALSE)</f>
        <v>259.07565540325999</v>
      </c>
      <c r="G64" s="3">
        <f t="shared" si="6"/>
        <v>2.0801132911773408</v>
      </c>
      <c r="H64" t="s">
        <v>406</v>
      </c>
    </row>
    <row r="65" spans="1:8" x14ac:dyDescent="0.45">
      <c r="A65" t="s">
        <v>537</v>
      </c>
      <c r="B65" t="s">
        <v>591</v>
      </c>
      <c r="C65" t="s">
        <v>585</v>
      </c>
      <c r="D65" t="s">
        <v>526</v>
      </c>
      <c r="E65" s="79">
        <f t="shared" si="5"/>
        <v>22.682558025133837</v>
      </c>
      <c r="F65" s="2">
        <f>VLOOKUP(H65,'[1]Biomass Costs'!$D$64:$G$173,2,FALSE)</f>
        <v>217.31429472204499</v>
      </c>
      <c r="G65" s="3">
        <f t="shared" si="6"/>
        <v>1.744812155779526</v>
      </c>
      <c r="H65" t="s">
        <v>404</v>
      </c>
    </row>
    <row r="66" spans="1:8" x14ac:dyDescent="0.45">
      <c r="A66" t="s">
        <v>537</v>
      </c>
      <c r="B66" t="s">
        <v>592</v>
      </c>
      <c r="C66" t="s">
        <v>585</v>
      </c>
      <c r="D66" t="s">
        <v>526</v>
      </c>
      <c r="E66" s="79">
        <f t="shared" si="5"/>
        <v>24.265508714937564</v>
      </c>
      <c r="F66" s="2">
        <f>VLOOKUP(H66,'[1]Biomass Costs'!$D$64:$G$173,2,FALSE)</f>
        <v>232.48003627347398</v>
      </c>
      <c r="G66" s="3">
        <f t="shared" si="6"/>
        <v>1.8665775934567357</v>
      </c>
      <c r="H66" t="s">
        <v>394</v>
      </c>
    </row>
    <row r="67" spans="1:8" x14ac:dyDescent="0.45">
      <c r="A67" t="s">
        <v>537</v>
      </c>
      <c r="B67" t="s">
        <v>593</v>
      </c>
      <c r="C67" t="s">
        <v>585</v>
      </c>
      <c r="D67" t="s">
        <v>526</v>
      </c>
      <c r="E67" s="79">
        <f t="shared" si="5"/>
        <v>23.480536675787157</v>
      </c>
      <c r="F67" s="2">
        <f>VLOOKUP(H67,'[1]Biomass Costs'!$D$64:$G$173,2,FALSE)</f>
        <v>224.95947157898601</v>
      </c>
      <c r="G67" s="3">
        <f t="shared" si="6"/>
        <v>1.8061951289067044</v>
      </c>
      <c r="H67" t="s">
        <v>393</v>
      </c>
    </row>
    <row r="68" spans="1:8" x14ac:dyDescent="0.45">
      <c r="A68" t="s">
        <v>537</v>
      </c>
      <c r="B68" t="s">
        <v>594</v>
      </c>
      <c r="C68" t="s">
        <v>585</v>
      </c>
      <c r="D68" t="s">
        <v>526</v>
      </c>
      <c r="E68" s="79">
        <f t="shared" si="5"/>
        <v>81.834111368316741</v>
      </c>
      <c r="F68" s="2">
        <f>VLOOKUP(H68,'[1]Biomass Costs'!$D$64:$G$173,2,FALSE)</f>
        <v>784.02630675541297</v>
      </c>
      <c r="G68" s="3">
        <f t="shared" si="6"/>
        <v>6.294931643716672</v>
      </c>
      <c r="H68" t="s">
        <v>426</v>
      </c>
    </row>
    <row r="69" spans="1:8" x14ac:dyDescent="0.45">
      <c r="A69" t="s">
        <v>537</v>
      </c>
      <c r="B69" t="s">
        <v>595</v>
      </c>
      <c r="C69" t="s">
        <v>585</v>
      </c>
      <c r="D69" t="s">
        <v>526</v>
      </c>
      <c r="E69" s="79">
        <f t="shared" si="5"/>
        <v>30.474363948407774</v>
      </c>
      <c r="F69" s="2">
        <f>VLOOKUP(H69,'[1]Biomass Costs'!$D$64:$G$173,2,FALSE)</f>
        <v>291.96508176956701</v>
      </c>
      <c r="G69" s="3">
        <f t="shared" si="6"/>
        <v>2.3441818421852134</v>
      </c>
      <c r="H69" t="s">
        <v>416</v>
      </c>
    </row>
    <row r="70" spans="1:8" x14ac:dyDescent="0.45">
      <c r="A70" t="s">
        <v>537</v>
      </c>
      <c r="B70" t="s">
        <v>596</v>
      </c>
      <c r="C70" t="s">
        <v>585</v>
      </c>
      <c r="D70" t="s">
        <v>526</v>
      </c>
      <c r="E70" s="79">
        <f t="shared" si="5"/>
        <v>24.288369486580446</v>
      </c>
      <c r="F70" s="2">
        <f>VLOOKUP(H70,'[1]Biomass Costs'!$D$64:$G$173,2,FALSE)</f>
        <v>232.699057975562</v>
      </c>
      <c r="G70" s="3">
        <f t="shared" si="6"/>
        <v>1.868336114352342</v>
      </c>
      <c r="H70" t="s">
        <v>385</v>
      </c>
    </row>
    <row r="71" spans="1:8" x14ac:dyDescent="0.45">
      <c r="A71" t="s">
        <v>537</v>
      </c>
      <c r="B71" t="s">
        <v>597</v>
      </c>
      <c r="C71" t="s">
        <v>585</v>
      </c>
      <c r="D71" t="s">
        <v>526</v>
      </c>
      <c r="E71" s="79">
        <f t="shared" si="5"/>
        <v>30.721279530235751</v>
      </c>
      <c r="F71" s="2">
        <f>VLOOKUP(H71,'[1]Biomass Costs'!$D$64:$G$173,2,FALSE)</f>
        <v>294.33070056182902</v>
      </c>
      <c r="G71" s="3">
        <f t="shared" si="6"/>
        <v>2.3631753484796731</v>
      </c>
      <c r="H71" t="s">
        <v>377</v>
      </c>
    </row>
    <row r="72" spans="1:8" x14ac:dyDescent="0.45">
      <c r="A72" t="s">
        <v>537</v>
      </c>
      <c r="B72" t="s">
        <v>598</v>
      </c>
      <c r="C72" t="s">
        <v>585</v>
      </c>
      <c r="D72" t="s">
        <v>526</v>
      </c>
      <c r="E72" s="79">
        <f t="shared" si="5"/>
        <v>42.455948499773051</v>
      </c>
      <c r="F72" s="2">
        <f>VLOOKUP(H72,'[1]Biomass Costs'!$D$64:$G$173,2,FALSE)</f>
        <v>406.75679060361205</v>
      </c>
      <c r="G72" s="3">
        <f t="shared" si="6"/>
        <v>3.2658421922902345</v>
      </c>
      <c r="H72" t="s">
        <v>370</v>
      </c>
    </row>
    <row r="73" spans="1:8" x14ac:dyDescent="0.45">
      <c r="A73" t="s">
        <v>537</v>
      </c>
      <c r="B73" t="s">
        <v>599</v>
      </c>
      <c r="C73" t="s">
        <v>585</v>
      </c>
      <c r="D73" t="s">
        <v>526</v>
      </c>
      <c r="E73" s="79">
        <f t="shared" si="5"/>
        <v>30.848231783803119</v>
      </c>
      <c r="F73" s="2">
        <f>VLOOKUP(H73,'[1]Biomass Costs'!$D$64:$G$173,2,FALSE)</f>
        <v>295.54698928097599</v>
      </c>
      <c r="G73" s="3">
        <f t="shared" si="6"/>
        <v>2.3729409064463938</v>
      </c>
      <c r="H73" t="s">
        <v>365</v>
      </c>
    </row>
    <row r="74" spans="1:8" x14ac:dyDescent="0.45">
      <c r="A74" t="s">
        <v>537</v>
      </c>
      <c r="B74" t="s">
        <v>600</v>
      </c>
      <c r="C74" t="s">
        <v>585</v>
      </c>
      <c r="D74" t="s">
        <v>526</v>
      </c>
      <c r="E74" s="79">
        <f t="shared" si="5"/>
        <v>48.31316488694516</v>
      </c>
      <c r="F74" s="2">
        <f>VLOOKUP(H74,'[1]Biomass Costs'!$D$64:$G$173,2,FALSE)</f>
        <v>462.87289738496798</v>
      </c>
      <c r="G74" s="3">
        <f t="shared" si="6"/>
        <v>3.7163972989957816</v>
      </c>
      <c r="H74" t="s">
        <v>368</v>
      </c>
    </row>
    <row r="75" spans="1:8" x14ac:dyDescent="0.45">
      <c r="A75" t="s">
        <v>537</v>
      </c>
      <c r="B75" t="s">
        <v>601</v>
      </c>
      <c r="C75" t="s">
        <v>585</v>
      </c>
      <c r="D75" t="s">
        <v>526</v>
      </c>
      <c r="E75" s="79">
        <f t="shared" si="5"/>
        <v>31.33105075144459</v>
      </c>
      <c r="F75" s="2">
        <f>VLOOKUP(H75,'[1]Biomass Costs'!$D$64:$G$173,2,FALSE)</f>
        <v>300.172722556525</v>
      </c>
      <c r="G75" s="3">
        <f t="shared" si="6"/>
        <v>2.4100808270341991</v>
      </c>
      <c r="H75" t="s">
        <v>358</v>
      </c>
    </row>
    <row r="78" spans="1:8" x14ac:dyDescent="0.45">
      <c r="E78" t="s">
        <v>584</v>
      </c>
      <c r="F78" t="s">
        <v>236</v>
      </c>
      <c r="G78" t="s">
        <v>583</v>
      </c>
      <c r="H78" t="s">
        <v>327</v>
      </c>
    </row>
    <row r="79" spans="1:8" x14ac:dyDescent="0.45">
      <c r="A79" t="s">
        <v>537</v>
      </c>
      <c r="B79" t="s">
        <v>602</v>
      </c>
      <c r="C79" t="s">
        <v>585</v>
      </c>
      <c r="D79" t="s">
        <v>526</v>
      </c>
      <c r="E79" s="79">
        <f t="shared" ref="E79:E94" si="7">G79*13</f>
        <v>30.218627458875215</v>
      </c>
      <c r="F79" s="2">
        <f>VLOOKUP(H79,'[1]Biomass Costs'!$D$64:$G$173,2,FALSE)</f>
        <v>179.41771716434101</v>
      </c>
      <c r="G79" s="3">
        <f t="shared" ref="G79:G94" si="8">$E$4/$H$30*F79</f>
        <v>2.3245098045288626</v>
      </c>
      <c r="H79" t="s">
        <v>329</v>
      </c>
    </row>
    <row r="80" spans="1:8" x14ac:dyDescent="0.45">
      <c r="A80" t="s">
        <v>537</v>
      </c>
      <c r="B80" t="s">
        <v>603</v>
      </c>
      <c r="C80" t="s">
        <v>585</v>
      </c>
      <c r="D80" t="s">
        <v>526</v>
      </c>
      <c r="E80" s="79">
        <f t="shared" si="7"/>
        <v>61.153764299153913</v>
      </c>
      <c r="F80" s="2">
        <f>VLOOKUP(H80,'[1]Biomass Costs'!$D$64:$G$173,2,FALSE)</f>
        <v>363.08958113641501</v>
      </c>
      <c r="G80" s="3">
        <f t="shared" si="8"/>
        <v>4.7041357153195316</v>
      </c>
      <c r="H80" t="s">
        <v>340</v>
      </c>
    </row>
    <row r="81" spans="1:8" x14ac:dyDescent="0.45">
      <c r="A81" t="s">
        <v>537</v>
      </c>
      <c r="B81" t="s">
        <v>604</v>
      </c>
      <c r="C81" t="s">
        <v>585</v>
      </c>
      <c r="D81" t="s">
        <v>526</v>
      </c>
      <c r="E81" s="79">
        <f t="shared" si="7"/>
        <v>103.731085702613</v>
      </c>
      <c r="F81" s="2">
        <f>VLOOKUP(H81,'[1]Biomass Costs'!$D$64:$G$173,2,FALSE)</f>
        <v>615.88484192637702</v>
      </c>
      <c r="G81" s="3">
        <f t="shared" si="8"/>
        <v>7.9793142848163852</v>
      </c>
      <c r="H81" t="s">
        <v>335</v>
      </c>
    </row>
    <row r="82" spans="1:8" x14ac:dyDescent="0.45">
      <c r="A82" t="s">
        <v>537</v>
      </c>
      <c r="B82" t="s">
        <v>605</v>
      </c>
      <c r="C82" t="s">
        <v>585</v>
      </c>
      <c r="D82" t="s">
        <v>526</v>
      </c>
      <c r="E82" s="79">
        <f t="shared" si="7"/>
        <v>37.428166695010162</v>
      </c>
      <c r="F82" s="2">
        <f>VLOOKUP(H82,'[1]Biomass Costs'!$D$64:$G$173,2,FALSE)</f>
        <v>222.22307201755001</v>
      </c>
      <c r="G82" s="3">
        <f t="shared" si="8"/>
        <v>2.8790897457700124</v>
      </c>
      <c r="H82" t="s">
        <v>332</v>
      </c>
    </row>
    <row r="83" spans="1:8" x14ac:dyDescent="0.45">
      <c r="A83" t="s">
        <v>537</v>
      </c>
      <c r="B83" t="s">
        <v>606</v>
      </c>
      <c r="C83" t="s">
        <v>585</v>
      </c>
      <c r="D83" t="s">
        <v>526</v>
      </c>
      <c r="E83" s="79">
        <f t="shared" si="7"/>
        <v>43.635103812651948</v>
      </c>
      <c r="F83" s="2">
        <f>VLOOKUP(H83,'[1]Biomass Costs'!$D$64:$G$173,2,FALSE)</f>
        <v>259.07565540325999</v>
      </c>
      <c r="G83" s="3">
        <f t="shared" si="8"/>
        <v>3.356546447127073</v>
      </c>
      <c r="H83" t="s">
        <v>406</v>
      </c>
    </row>
    <row r="84" spans="1:8" x14ac:dyDescent="0.45">
      <c r="A84" t="s">
        <v>537</v>
      </c>
      <c r="B84" t="s">
        <v>607</v>
      </c>
      <c r="C84" t="s">
        <v>585</v>
      </c>
      <c r="D84" t="s">
        <v>526</v>
      </c>
      <c r="E84" s="79">
        <f t="shared" si="7"/>
        <v>36.601400449647784</v>
      </c>
      <c r="F84" s="2">
        <f>VLOOKUP(H84,'[1]Biomass Costs'!$D$64:$G$173,2,FALSE)</f>
        <v>217.31429472204499</v>
      </c>
      <c r="G84" s="3">
        <f t="shared" si="8"/>
        <v>2.8154923422805989</v>
      </c>
      <c r="H84" t="s">
        <v>404</v>
      </c>
    </row>
    <row r="85" spans="1:8" x14ac:dyDescent="0.45">
      <c r="A85" t="s">
        <v>537</v>
      </c>
      <c r="B85" t="s">
        <v>608</v>
      </c>
      <c r="C85" t="s">
        <v>585</v>
      </c>
      <c r="D85" t="s">
        <v>526</v>
      </c>
      <c r="E85" s="79">
        <f t="shared" si="7"/>
        <v>39.155707244558343</v>
      </c>
      <c r="F85" s="2">
        <f>VLOOKUP(H85,'[1]Biomass Costs'!$D$64:$G$173,2,FALSE)</f>
        <v>232.48003627347398</v>
      </c>
      <c r="G85" s="3">
        <f t="shared" si="8"/>
        <v>3.0119774803506418</v>
      </c>
      <c r="H85" t="s">
        <v>394</v>
      </c>
    </row>
    <row r="86" spans="1:8" x14ac:dyDescent="0.45">
      <c r="A86" t="s">
        <v>537</v>
      </c>
      <c r="B86" t="s">
        <v>609</v>
      </c>
      <c r="C86" t="s">
        <v>585</v>
      </c>
      <c r="D86" t="s">
        <v>526</v>
      </c>
      <c r="E86" s="79">
        <f t="shared" si="7"/>
        <v>37.889047817747461</v>
      </c>
      <c r="F86" s="2">
        <f>VLOOKUP(H86,'[1]Biomass Costs'!$D$64:$G$173,2,FALSE)</f>
        <v>224.95947157898601</v>
      </c>
      <c r="G86" s="3">
        <f t="shared" si="8"/>
        <v>2.9145421398267275</v>
      </c>
      <c r="H86" t="s">
        <v>393</v>
      </c>
    </row>
    <row r="87" spans="1:8" x14ac:dyDescent="0.45">
      <c r="A87" t="s">
        <v>537</v>
      </c>
      <c r="B87" t="s">
        <v>610</v>
      </c>
      <c r="C87" t="s">
        <v>585</v>
      </c>
      <c r="D87" t="s">
        <v>526</v>
      </c>
      <c r="E87" s="79">
        <f t="shared" si="7"/>
        <v>132.05049788978386</v>
      </c>
      <c r="F87" s="2">
        <f>VLOOKUP(H87,'[1]Biomass Costs'!$D$64:$G$173,2,FALSE)</f>
        <v>784.02630675541297</v>
      </c>
      <c r="G87" s="3">
        <f t="shared" si="8"/>
        <v>10.157730606906449</v>
      </c>
      <c r="H87" t="s">
        <v>426</v>
      </c>
    </row>
    <row r="88" spans="1:8" x14ac:dyDescent="0.45">
      <c r="A88" t="s">
        <v>537</v>
      </c>
      <c r="B88" t="s">
        <v>611</v>
      </c>
      <c r="C88" t="s">
        <v>585</v>
      </c>
      <c r="D88" t="s">
        <v>526</v>
      </c>
      <c r="E88" s="79">
        <f t="shared" si="7"/>
        <v>49.174541825839817</v>
      </c>
      <c r="F88" s="2">
        <f>VLOOKUP(H88,'[1]Biomass Costs'!$D$64:$G$173,2,FALSE)</f>
        <v>291.96508176956701</v>
      </c>
      <c r="G88" s="3">
        <f t="shared" si="8"/>
        <v>3.7826570635261398</v>
      </c>
      <c r="H88" t="s">
        <v>416</v>
      </c>
    </row>
    <row r="89" spans="1:8" x14ac:dyDescent="0.45">
      <c r="A89" t="s">
        <v>537</v>
      </c>
      <c r="B89" t="s">
        <v>612</v>
      </c>
      <c r="C89" t="s">
        <v>585</v>
      </c>
      <c r="D89" t="s">
        <v>526</v>
      </c>
      <c r="E89" s="79">
        <f t="shared" si="7"/>
        <v>39.192596216982089</v>
      </c>
      <c r="F89" s="2">
        <f>VLOOKUP(H89,'[1]Biomass Costs'!$D$64:$G$173,2,FALSE)</f>
        <v>232.699057975562</v>
      </c>
      <c r="G89" s="3">
        <f t="shared" si="8"/>
        <v>3.0148150936140068</v>
      </c>
      <c r="H89" t="s">
        <v>385</v>
      </c>
    </row>
    <row r="90" spans="1:8" x14ac:dyDescent="0.45">
      <c r="A90" t="s">
        <v>537</v>
      </c>
      <c r="B90" t="s">
        <v>613</v>
      </c>
      <c r="C90" t="s">
        <v>585</v>
      </c>
      <c r="D90" t="s">
        <v>526</v>
      </c>
      <c r="E90" s="79">
        <f t="shared" si="7"/>
        <v>49.572973787425866</v>
      </c>
      <c r="F90" s="2">
        <f>VLOOKUP(H90,'[1]Biomass Costs'!$D$64:$G$173,2,FALSE)</f>
        <v>294.33070056182902</v>
      </c>
      <c r="G90" s="3">
        <f t="shared" si="8"/>
        <v>3.8133056759558359</v>
      </c>
      <c r="H90" t="s">
        <v>377</v>
      </c>
    </row>
    <row r="91" spans="1:8" x14ac:dyDescent="0.45">
      <c r="A91" t="s">
        <v>537</v>
      </c>
      <c r="B91" t="s">
        <v>614</v>
      </c>
      <c r="C91" t="s">
        <v>585</v>
      </c>
      <c r="D91" t="s">
        <v>526</v>
      </c>
      <c r="E91" s="79">
        <f t="shared" si="7"/>
        <v>68.508462351906516</v>
      </c>
      <c r="F91" s="2">
        <f>VLOOKUP(H91,'[1]Biomass Costs'!$D$64:$G$173,2,FALSE)</f>
        <v>406.75679060361205</v>
      </c>
      <c r="G91" s="3">
        <f t="shared" si="8"/>
        <v>5.2698817193774241</v>
      </c>
      <c r="H91" t="s">
        <v>370</v>
      </c>
    </row>
    <row r="92" spans="1:8" x14ac:dyDescent="0.45">
      <c r="A92" t="s">
        <v>537</v>
      </c>
      <c r="B92" t="s">
        <v>615</v>
      </c>
      <c r="C92" t="s">
        <v>585</v>
      </c>
      <c r="D92" t="s">
        <v>526</v>
      </c>
      <c r="E92" s="79">
        <f t="shared" si="7"/>
        <v>49.777828560227761</v>
      </c>
      <c r="F92" s="2">
        <f>VLOOKUP(H92,'[1]Biomass Costs'!$D$64:$G$173,2,FALSE)</f>
        <v>295.54698928097599</v>
      </c>
      <c r="G92" s="3">
        <f t="shared" si="8"/>
        <v>3.8290637354021353</v>
      </c>
      <c r="H92" t="s">
        <v>365</v>
      </c>
    </row>
    <row r="93" spans="1:8" x14ac:dyDescent="0.45">
      <c r="A93" t="s">
        <v>537</v>
      </c>
      <c r="B93" t="s">
        <v>616</v>
      </c>
      <c r="C93" t="s">
        <v>585</v>
      </c>
      <c r="D93" t="s">
        <v>526</v>
      </c>
      <c r="E93" s="79">
        <f t="shared" si="7"/>
        <v>77.959879703934249</v>
      </c>
      <c r="F93" s="2">
        <f>VLOOKUP(H93,'[1]Biomass Costs'!$D$64:$G$173,2,FALSE)</f>
        <v>462.87289738496798</v>
      </c>
      <c r="G93" s="3">
        <f t="shared" si="8"/>
        <v>5.9969138233795576</v>
      </c>
      <c r="H93" t="s">
        <v>368</v>
      </c>
    </row>
    <row r="94" spans="1:8" x14ac:dyDescent="0.45">
      <c r="A94" t="s">
        <v>537</v>
      </c>
      <c r="B94" t="s">
        <v>617</v>
      </c>
      <c r="C94" t="s">
        <v>585</v>
      </c>
      <c r="D94" t="s">
        <v>526</v>
      </c>
      <c r="E94" s="79">
        <f t="shared" si="7"/>
        <v>50.556922803467408</v>
      </c>
      <c r="F94" s="2">
        <f>VLOOKUP(H94,'[1]Biomass Costs'!$D$64:$G$173,2,FALSE)</f>
        <v>300.172722556525</v>
      </c>
      <c r="G94" s="3">
        <f t="shared" si="8"/>
        <v>3.8889940618051853</v>
      </c>
      <c r="H94" t="s">
        <v>358</v>
      </c>
    </row>
    <row r="97" spans="1:6" s="80" customFormat="1" x14ac:dyDescent="0.45">
      <c r="A97" s="80" t="s">
        <v>619</v>
      </c>
    </row>
    <row r="99" spans="1:6" x14ac:dyDescent="0.45">
      <c r="B99" t="s">
        <v>954</v>
      </c>
      <c r="D99">
        <f>$E$3/$D$24</f>
        <v>0.15915403058276525</v>
      </c>
    </row>
    <row r="100" spans="1:6" x14ac:dyDescent="0.45">
      <c r="B100" t="s">
        <v>955</v>
      </c>
      <c r="D100">
        <f>$E$4/$G$30</f>
        <v>8.0289801368622401E-3</v>
      </c>
    </row>
    <row r="101" spans="1:6" x14ac:dyDescent="0.45">
      <c r="B101" t="s">
        <v>956</v>
      </c>
      <c r="D101">
        <f>$E$4/$H$30</f>
        <v>1.2955854311754979E-2</v>
      </c>
    </row>
    <row r="105" spans="1:6" x14ac:dyDescent="0.45">
      <c r="B105" t="s">
        <v>537</v>
      </c>
      <c r="C105" t="s">
        <v>602</v>
      </c>
      <c r="D105" t="s">
        <v>525</v>
      </c>
      <c r="E105" t="s">
        <v>526</v>
      </c>
      <c r="F105">
        <f t="shared" ref="F105:F120" si="9">$E$4/$H$30</f>
        <v>1.2955854311754979E-2</v>
      </c>
    </row>
    <row r="106" spans="1:6" x14ac:dyDescent="0.45">
      <c r="B106" t="s">
        <v>537</v>
      </c>
      <c r="C106" t="s">
        <v>603</v>
      </c>
      <c r="D106" t="s">
        <v>525</v>
      </c>
      <c r="E106" t="s">
        <v>526</v>
      </c>
      <c r="F106">
        <f t="shared" si="9"/>
        <v>1.2955854311754979E-2</v>
      </c>
    </row>
    <row r="107" spans="1:6" x14ac:dyDescent="0.45">
      <c r="B107" t="s">
        <v>537</v>
      </c>
      <c r="C107" t="s">
        <v>604</v>
      </c>
      <c r="D107" t="s">
        <v>525</v>
      </c>
      <c r="E107" t="s">
        <v>526</v>
      </c>
      <c r="F107">
        <f t="shared" si="9"/>
        <v>1.2955854311754979E-2</v>
      </c>
    </row>
    <row r="108" spans="1:6" x14ac:dyDescent="0.45">
      <c r="B108" t="s">
        <v>537</v>
      </c>
      <c r="C108" t="s">
        <v>605</v>
      </c>
      <c r="D108" t="s">
        <v>525</v>
      </c>
      <c r="E108" t="s">
        <v>526</v>
      </c>
      <c r="F108">
        <f t="shared" si="9"/>
        <v>1.2955854311754979E-2</v>
      </c>
    </row>
    <row r="109" spans="1:6" x14ac:dyDescent="0.45">
      <c r="B109" t="s">
        <v>537</v>
      </c>
      <c r="C109" t="s">
        <v>606</v>
      </c>
      <c r="D109" t="s">
        <v>525</v>
      </c>
      <c r="E109" t="s">
        <v>526</v>
      </c>
      <c r="F109">
        <f t="shared" si="9"/>
        <v>1.2955854311754979E-2</v>
      </c>
    </row>
    <row r="110" spans="1:6" x14ac:dyDescent="0.45">
      <c r="B110" t="s">
        <v>537</v>
      </c>
      <c r="C110" t="s">
        <v>607</v>
      </c>
      <c r="D110" t="s">
        <v>525</v>
      </c>
      <c r="E110" t="s">
        <v>526</v>
      </c>
      <c r="F110">
        <f t="shared" si="9"/>
        <v>1.2955854311754979E-2</v>
      </c>
    </row>
    <row r="111" spans="1:6" x14ac:dyDescent="0.45">
      <c r="B111" t="s">
        <v>537</v>
      </c>
      <c r="C111" t="s">
        <v>608</v>
      </c>
      <c r="D111" t="s">
        <v>525</v>
      </c>
      <c r="E111" t="s">
        <v>526</v>
      </c>
      <c r="F111">
        <f t="shared" si="9"/>
        <v>1.2955854311754979E-2</v>
      </c>
    </row>
    <row r="112" spans="1:6" x14ac:dyDescent="0.45">
      <c r="B112" t="s">
        <v>537</v>
      </c>
      <c r="C112" t="s">
        <v>609</v>
      </c>
      <c r="D112" t="s">
        <v>525</v>
      </c>
      <c r="E112" t="s">
        <v>526</v>
      </c>
      <c r="F112">
        <f t="shared" si="9"/>
        <v>1.2955854311754979E-2</v>
      </c>
    </row>
    <row r="113" spans="2:6" x14ac:dyDescent="0.45">
      <c r="B113" t="s">
        <v>537</v>
      </c>
      <c r="C113" t="s">
        <v>610</v>
      </c>
      <c r="D113" t="s">
        <v>525</v>
      </c>
      <c r="E113" t="s">
        <v>526</v>
      </c>
      <c r="F113">
        <f t="shared" si="9"/>
        <v>1.2955854311754979E-2</v>
      </c>
    </row>
    <row r="114" spans="2:6" x14ac:dyDescent="0.45">
      <c r="B114" t="s">
        <v>537</v>
      </c>
      <c r="C114" t="s">
        <v>611</v>
      </c>
      <c r="D114" t="s">
        <v>525</v>
      </c>
      <c r="E114" t="s">
        <v>526</v>
      </c>
      <c r="F114">
        <f t="shared" si="9"/>
        <v>1.2955854311754979E-2</v>
      </c>
    </row>
    <row r="115" spans="2:6" x14ac:dyDescent="0.45">
      <c r="B115" t="s">
        <v>537</v>
      </c>
      <c r="C115" t="s">
        <v>612</v>
      </c>
      <c r="D115" t="s">
        <v>525</v>
      </c>
      <c r="E115" t="s">
        <v>526</v>
      </c>
      <c r="F115">
        <f t="shared" si="9"/>
        <v>1.2955854311754979E-2</v>
      </c>
    </row>
    <row r="116" spans="2:6" x14ac:dyDescent="0.45">
      <c r="B116" t="s">
        <v>537</v>
      </c>
      <c r="C116" t="s">
        <v>613</v>
      </c>
      <c r="D116" t="s">
        <v>525</v>
      </c>
      <c r="E116" t="s">
        <v>526</v>
      </c>
      <c r="F116">
        <f t="shared" si="9"/>
        <v>1.2955854311754979E-2</v>
      </c>
    </row>
    <row r="117" spans="2:6" x14ac:dyDescent="0.45">
      <c r="B117" t="s">
        <v>537</v>
      </c>
      <c r="C117" t="s">
        <v>614</v>
      </c>
      <c r="D117" t="s">
        <v>525</v>
      </c>
      <c r="E117" t="s">
        <v>526</v>
      </c>
      <c r="F117">
        <f t="shared" si="9"/>
        <v>1.2955854311754979E-2</v>
      </c>
    </row>
    <row r="118" spans="2:6" x14ac:dyDescent="0.45">
      <c r="B118" t="s">
        <v>537</v>
      </c>
      <c r="C118" t="s">
        <v>615</v>
      </c>
      <c r="D118" t="s">
        <v>525</v>
      </c>
      <c r="E118" t="s">
        <v>526</v>
      </c>
      <c r="F118">
        <f t="shared" si="9"/>
        <v>1.2955854311754979E-2</v>
      </c>
    </row>
    <row r="119" spans="2:6" x14ac:dyDescent="0.45">
      <c r="B119" t="s">
        <v>537</v>
      </c>
      <c r="C119" t="s">
        <v>616</v>
      </c>
      <c r="D119" t="s">
        <v>525</v>
      </c>
      <c r="E119" t="s">
        <v>526</v>
      </c>
      <c r="F119">
        <f t="shared" si="9"/>
        <v>1.2955854311754979E-2</v>
      </c>
    </row>
    <row r="120" spans="2:6" x14ac:dyDescent="0.45">
      <c r="B120" t="s">
        <v>537</v>
      </c>
      <c r="C120" t="s">
        <v>617</v>
      </c>
      <c r="D120" t="s">
        <v>525</v>
      </c>
      <c r="E120" t="s">
        <v>526</v>
      </c>
      <c r="F120">
        <f t="shared" si="9"/>
        <v>1.2955854311754979E-2</v>
      </c>
    </row>
    <row r="122" spans="2:6" x14ac:dyDescent="0.45">
      <c r="B122" t="s">
        <v>537</v>
      </c>
      <c r="C122" t="s">
        <v>567</v>
      </c>
      <c r="D122" t="s">
        <v>525</v>
      </c>
      <c r="E122" t="s">
        <v>526</v>
      </c>
      <c r="F122">
        <f>$E$3/$D$24</f>
        <v>0.15915403058276525</v>
      </c>
    </row>
    <row r="123" spans="2:6" x14ac:dyDescent="0.45">
      <c r="B123" t="s">
        <v>537</v>
      </c>
      <c r="C123" t="s">
        <v>568</v>
      </c>
      <c r="D123" t="s">
        <v>525</v>
      </c>
      <c r="E123" t="s">
        <v>526</v>
      </c>
      <c r="F123">
        <f t="shared" ref="F123:F137" si="10">$E$3/$D$24</f>
        <v>0.15915403058276525</v>
      </c>
    </row>
    <row r="124" spans="2:6" x14ac:dyDescent="0.45">
      <c r="B124" t="s">
        <v>537</v>
      </c>
      <c r="C124" t="s">
        <v>569</v>
      </c>
      <c r="D124" t="s">
        <v>525</v>
      </c>
      <c r="E124" t="s">
        <v>526</v>
      </c>
      <c r="F124">
        <f t="shared" si="10"/>
        <v>0.15915403058276525</v>
      </c>
    </row>
    <row r="125" spans="2:6" x14ac:dyDescent="0.45">
      <c r="B125" t="s">
        <v>537</v>
      </c>
      <c r="C125" t="s">
        <v>570</v>
      </c>
      <c r="D125" t="s">
        <v>525</v>
      </c>
      <c r="E125" t="s">
        <v>526</v>
      </c>
      <c r="F125">
        <f t="shared" si="10"/>
        <v>0.15915403058276525</v>
      </c>
    </row>
    <row r="126" spans="2:6" x14ac:dyDescent="0.45">
      <c r="B126" t="s">
        <v>537</v>
      </c>
      <c r="C126" t="s">
        <v>571</v>
      </c>
      <c r="D126" t="s">
        <v>525</v>
      </c>
      <c r="E126" t="s">
        <v>526</v>
      </c>
      <c r="F126">
        <f t="shared" si="10"/>
        <v>0.15915403058276525</v>
      </c>
    </row>
    <row r="127" spans="2:6" x14ac:dyDescent="0.45">
      <c r="B127" t="s">
        <v>537</v>
      </c>
      <c r="C127" t="s">
        <v>572</v>
      </c>
      <c r="D127" t="s">
        <v>525</v>
      </c>
      <c r="E127" t="s">
        <v>526</v>
      </c>
      <c r="F127">
        <f t="shared" si="10"/>
        <v>0.15915403058276525</v>
      </c>
    </row>
    <row r="128" spans="2:6" x14ac:dyDescent="0.45">
      <c r="B128" t="s">
        <v>537</v>
      </c>
      <c r="C128" t="s">
        <v>573</v>
      </c>
      <c r="D128" t="s">
        <v>525</v>
      </c>
      <c r="E128" t="s">
        <v>526</v>
      </c>
      <c r="F128">
        <f t="shared" si="10"/>
        <v>0.15915403058276525</v>
      </c>
    </row>
    <row r="129" spans="2:20" x14ac:dyDescent="0.45">
      <c r="B129" t="s">
        <v>537</v>
      </c>
      <c r="C129" t="s">
        <v>574</v>
      </c>
      <c r="D129" t="s">
        <v>525</v>
      </c>
      <c r="E129" t="s">
        <v>526</v>
      </c>
      <c r="F129">
        <f t="shared" si="10"/>
        <v>0.15915403058276525</v>
      </c>
    </row>
    <row r="130" spans="2:20" x14ac:dyDescent="0.45">
      <c r="B130" t="s">
        <v>537</v>
      </c>
      <c r="C130" t="s">
        <v>575</v>
      </c>
      <c r="D130" t="s">
        <v>525</v>
      </c>
      <c r="E130" t="s">
        <v>526</v>
      </c>
      <c r="F130">
        <f t="shared" si="10"/>
        <v>0.15915403058276525</v>
      </c>
    </row>
    <row r="131" spans="2:20" x14ac:dyDescent="0.45">
      <c r="B131" t="s">
        <v>537</v>
      </c>
      <c r="C131" t="s">
        <v>576</v>
      </c>
      <c r="D131" t="s">
        <v>525</v>
      </c>
      <c r="E131" t="s">
        <v>526</v>
      </c>
      <c r="F131">
        <f t="shared" si="10"/>
        <v>0.15915403058276525</v>
      </c>
    </row>
    <row r="132" spans="2:20" x14ac:dyDescent="0.45">
      <c r="B132" t="s">
        <v>537</v>
      </c>
      <c r="C132" t="s">
        <v>577</v>
      </c>
      <c r="D132" t="s">
        <v>525</v>
      </c>
      <c r="E132" t="s">
        <v>526</v>
      </c>
      <c r="F132">
        <f t="shared" si="10"/>
        <v>0.15915403058276525</v>
      </c>
    </row>
    <row r="133" spans="2:20" x14ac:dyDescent="0.45">
      <c r="B133" t="s">
        <v>537</v>
      </c>
      <c r="C133" t="s">
        <v>578</v>
      </c>
      <c r="D133" t="s">
        <v>525</v>
      </c>
      <c r="E133" t="s">
        <v>526</v>
      </c>
      <c r="F133">
        <f t="shared" si="10"/>
        <v>0.15915403058276525</v>
      </c>
    </row>
    <row r="134" spans="2:20" x14ac:dyDescent="0.45">
      <c r="B134" t="s">
        <v>537</v>
      </c>
      <c r="C134" t="s">
        <v>579</v>
      </c>
      <c r="D134" t="s">
        <v>525</v>
      </c>
      <c r="E134" t="s">
        <v>526</v>
      </c>
      <c r="F134">
        <f t="shared" si="10"/>
        <v>0.15915403058276525</v>
      </c>
      <c r="K134" t="s">
        <v>528</v>
      </c>
      <c r="L134" t="s">
        <v>526</v>
      </c>
      <c r="M134" t="s">
        <v>625</v>
      </c>
    </row>
    <row r="135" spans="2:20" x14ac:dyDescent="0.45">
      <c r="B135" t="s">
        <v>537</v>
      </c>
      <c r="C135" t="s">
        <v>580</v>
      </c>
      <c r="D135" t="s">
        <v>525</v>
      </c>
      <c r="E135" t="s">
        <v>526</v>
      </c>
      <c r="F135">
        <f t="shared" si="10"/>
        <v>0.15915403058276525</v>
      </c>
      <c r="K135" t="s">
        <v>528</v>
      </c>
      <c r="L135" t="s">
        <v>526</v>
      </c>
      <c r="M135" t="s">
        <v>625</v>
      </c>
    </row>
    <row r="136" spans="2:20" x14ac:dyDescent="0.45">
      <c r="B136" t="s">
        <v>537</v>
      </c>
      <c r="C136" t="s">
        <v>581</v>
      </c>
      <c r="D136" t="s">
        <v>525</v>
      </c>
      <c r="E136" t="s">
        <v>526</v>
      </c>
      <c r="F136">
        <f t="shared" si="10"/>
        <v>0.15915403058276525</v>
      </c>
    </row>
    <row r="137" spans="2:20" x14ac:dyDescent="0.45">
      <c r="B137" t="s">
        <v>537</v>
      </c>
      <c r="C137" t="s">
        <v>582</v>
      </c>
      <c r="D137" t="s">
        <v>525</v>
      </c>
      <c r="E137" t="s">
        <v>526</v>
      </c>
      <c r="F137">
        <f t="shared" si="10"/>
        <v>0.15915403058276525</v>
      </c>
    </row>
    <row r="139" spans="2:20" x14ac:dyDescent="0.45">
      <c r="B139" t="s">
        <v>537</v>
      </c>
      <c r="C139" t="s">
        <v>586</v>
      </c>
      <c r="D139" t="s">
        <v>525</v>
      </c>
      <c r="E139" t="s">
        <v>526</v>
      </c>
      <c r="F139">
        <f t="shared" ref="F139:F154" si="11">$E$4/$G$30</f>
        <v>8.0289801368622401E-3</v>
      </c>
      <c r="I139" t="s">
        <v>537</v>
      </c>
      <c r="J139" t="s">
        <v>586</v>
      </c>
      <c r="K139" t="s">
        <v>621</v>
      </c>
      <c r="L139" t="s">
        <v>526</v>
      </c>
      <c r="M139" t="s">
        <v>622</v>
      </c>
      <c r="P139" t="s">
        <v>537</v>
      </c>
      <c r="Q139" t="s">
        <v>586</v>
      </c>
      <c r="R139" t="s">
        <v>623</v>
      </c>
      <c r="S139" t="s">
        <v>526</v>
      </c>
      <c r="T139" t="s">
        <v>624</v>
      </c>
    </row>
    <row r="140" spans="2:20" x14ac:dyDescent="0.45">
      <c r="B140" t="s">
        <v>537</v>
      </c>
      <c r="C140" t="s">
        <v>587</v>
      </c>
      <c r="D140" t="s">
        <v>525</v>
      </c>
      <c r="E140" t="s">
        <v>526</v>
      </c>
      <c r="F140">
        <f t="shared" si="11"/>
        <v>8.0289801368622401E-3</v>
      </c>
      <c r="I140" t="s">
        <v>537</v>
      </c>
      <c r="J140" t="s">
        <v>587</v>
      </c>
      <c r="K140" t="s">
        <v>621</v>
      </c>
      <c r="L140" t="s">
        <v>526</v>
      </c>
      <c r="M140" t="s">
        <v>622</v>
      </c>
      <c r="P140" t="s">
        <v>537</v>
      </c>
      <c r="Q140" t="s">
        <v>587</v>
      </c>
      <c r="R140" t="s">
        <v>623</v>
      </c>
      <c r="S140" t="s">
        <v>526</v>
      </c>
      <c r="T140" t="s">
        <v>624</v>
      </c>
    </row>
    <row r="141" spans="2:20" x14ac:dyDescent="0.45">
      <c r="B141" t="s">
        <v>537</v>
      </c>
      <c r="C141" t="s">
        <v>588</v>
      </c>
      <c r="D141" t="s">
        <v>525</v>
      </c>
      <c r="E141" t="s">
        <v>526</v>
      </c>
      <c r="F141">
        <f t="shared" si="11"/>
        <v>8.0289801368622401E-3</v>
      </c>
      <c r="I141" t="s">
        <v>537</v>
      </c>
      <c r="J141" t="s">
        <v>588</v>
      </c>
      <c r="K141" t="s">
        <v>621</v>
      </c>
      <c r="L141" t="s">
        <v>526</v>
      </c>
      <c r="M141" t="s">
        <v>622</v>
      </c>
      <c r="P141" t="s">
        <v>537</v>
      </c>
      <c r="Q141" t="s">
        <v>588</v>
      </c>
      <c r="R141" t="s">
        <v>623</v>
      </c>
      <c r="S141" t="s">
        <v>526</v>
      </c>
      <c r="T141" t="s">
        <v>624</v>
      </c>
    </row>
    <row r="142" spans="2:20" x14ac:dyDescent="0.45">
      <c r="B142" t="s">
        <v>537</v>
      </c>
      <c r="C142" t="s">
        <v>589</v>
      </c>
      <c r="D142" t="s">
        <v>525</v>
      </c>
      <c r="E142" t="s">
        <v>526</v>
      </c>
      <c r="F142">
        <f t="shared" si="11"/>
        <v>8.0289801368622401E-3</v>
      </c>
      <c r="I142" t="s">
        <v>537</v>
      </c>
      <c r="J142" t="s">
        <v>589</v>
      </c>
      <c r="K142" t="s">
        <v>621</v>
      </c>
      <c r="L142" t="s">
        <v>526</v>
      </c>
      <c r="M142" t="s">
        <v>622</v>
      </c>
      <c r="P142" t="s">
        <v>537</v>
      </c>
      <c r="Q142" t="s">
        <v>589</v>
      </c>
      <c r="R142" t="s">
        <v>623</v>
      </c>
      <c r="S142" t="s">
        <v>526</v>
      </c>
      <c r="T142" t="s">
        <v>624</v>
      </c>
    </row>
    <row r="143" spans="2:20" x14ac:dyDescent="0.45">
      <c r="B143" t="s">
        <v>537</v>
      </c>
      <c r="C143" t="s">
        <v>590</v>
      </c>
      <c r="D143" t="s">
        <v>525</v>
      </c>
      <c r="E143" t="s">
        <v>526</v>
      </c>
      <c r="F143">
        <f t="shared" si="11"/>
        <v>8.0289801368622401E-3</v>
      </c>
      <c r="I143" t="s">
        <v>537</v>
      </c>
      <c r="J143" t="s">
        <v>590</v>
      </c>
      <c r="K143" t="s">
        <v>621</v>
      </c>
      <c r="L143" t="s">
        <v>526</v>
      </c>
      <c r="M143" t="s">
        <v>622</v>
      </c>
      <c r="P143" t="s">
        <v>537</v>
      </c>
      <c r="Q143" t="s">
        <v>590</v>
      </c>
      <c r="R143" t="s">
        <v>623</v>
      </c>
      <c r="S143" t="s">
        <v>526</v>
      </c>
      <c r="T143" t="s">
        <v>624</v>
      </c>
    </row>
    <row r="144" spans="2:20" x14ac:dyDescent="0.45">
      <c r="B144" t="s">
        <v>537</v>
      </c>
      <c r="C144" t="s">
        <v>591</v>
      </c>
      <c r="D144" t="s">
        <v>525</v>
      </c>
      <c r="E144" t="s">
        <v>526</v>
      </c>
      <c r="F144">
        <f t="shared" si="11"/>
        <v>8.0289801368622401E-3</v>
      </c>
      <c r="I144" t="s">
        <v>537</v>
      </c>
      <c r="J144" t="s">
        <v>591</v>
      </c>
      <c r="K144" t="s">
        <v>621</v>
      </c>
      <c r="L144" t="s">
        <v>526</v>
      </c>
      <c r="M144" t="s">
        <v>622</v>
      </c>
      <c r="P144" t="s">
        <v>537</v>
      </c>
      <c r="Q144" t="s">
        <v>591</v>
      </c>
      <c r="R144" t="s">
        <v>623</v>
      </c>
      <c r="S144" t="s">
        <v>526</v>
      </c>
      <c r="T144" t="s">
        <v>624</v>
      </c>
    </row>
    <row r="145" spans="2:20" x14ac:dyDescent="0.45">
      <c r="B145" t="s">
        <v>537</v>
      </c>
      <c r="C145" t="s">
        <v>592</v>
      </c>
      <c r="D145" t="s">
        <v>525</v>
      </c>
      <c r="E145" t="s">
        <v>526</v>
      </c>
      <c r="F145">
        <f t="shared" si="11"/>
        <v>8.0289801368622401E-3</v>
      </c>
      <c r="I145" t="s">
        <v>537</v>
      </c>
      <c r="J145" t="s">
        <v>592</v>
      </c>
      <c r="K145" t="s">
        <v>621</v>
      </c>
      <c r="L145" t="s">
        <v>526</v>
      </c>
      <c r="M145" t="s">
        <v>622</v>
      </c>
      <c r="P145" t="s">
        <v>537</v>
      </c>
      <c r="Q145" t="s">
        <v>592</v>
      </c>
      <c r="R145" t="s">
        <v>623</v>
      </c>
      <c r="S145" t="s">
        <v>526</v>
      </c>
      <c r="T145" t="s">
        <v>624</v>
      </c>
    </row>
    <row r="146" spans="2:20" x14ac:dyDescent="0.45">
      <c r="B146" t="s">
        <v>537</v>
      </c>
      <c r="C146" t="s">
        <v>593</v>
      </c>
      <c r="D146" t="s">
        <v>525</v>
      </c>
      <c r="E146" t="s">
        <v>526</v>
      </c>
      <c r="F146">
        <f t="shared" si="11"/>
        <v>8.0289801368622401E-3</v>
      </c>
      <c r="I146" t="s">
        <v>537</v>
      </c>
      <c r="J146" t="s">
        <v>593</v>
      </c>
      <c r="K146" t="s">
        <v>621</v>
      </c>
      <c r="L146" t="s">
        <v>526</v>
      </c>
      <c r="M146" t="s">
        <v>622</v>
      </c>
      <c r="P146" t="s">
        <v>537</v>
      </c>
      <c r="Q146" t="s">
        <v>593</v>
      </c>
      <c r="R146" t="s">
        <v>623</v>
      </c>
      <c r="S146" t="s">
        <v>526</v>
      </c>
      <c r="T146" t="s">
        <v>624</v>
      </c>
    </row>
    <row r="147" spans="2:20" x14ac:dyDescent="0.45">
      <c r="B147" t="s">
        <v>537</v>
      </c>
      <c r="C147" t="s">
        <v>594</v>
      </c>
      <c r="D147" t="s">
        <v>525</v>
      </c>
      <c r="E147" t="s">
        <v>526</v>
      </c>
      <c r="F147">
        <f t="shared" si="11"/>
        <v>8.0289801368622401E-3</v>
      </c>
      <c r="I147" t="s">
        <v>537</v>
      </c>
      <c r="J147" t="s">
        <v>594</v>
      </c>
      <c r="K147" t="s">
        <v>621</v>
      </c>
      <c r="L147" t="s">
        <v>526</v>
      </c>
      <c r="M147" t="s">
        <v>622</v>
      </c>
      <c r="P147" t="s">
        <v>537</v>
      </c>
      <c r="Q147" t="s">
        <v>594</v>
      </c>
      <c r="R147" t="s">
        <v>623</v>
      </c>
      <c r="S147" t="s">
        <v>526</v>
      </c>
      <c r="T147" t="s">
        <v>624</v>
      </c>
    </row>
    <row r="148" spans="2:20" x14ac:dyDescent="0.45">
      <c r="B148" t="s">
        <v>537</v>
      </c>
      <c r="C148" t="s">
        <v>595</v>
      </c>
      <c r="D148" t="s">
        <v>525</v>
      </c>
      <c r="E148" t="s">
        <v>526</v>
      </c>
      <c r="F148">
        <f t="shared" si="11"/>
        <v>8.0289801368622401E-3</v>
      </c>
      <c r="I148" t="s">
        <v>537</v>
      </c>
      <c r="J148" t="s">
        <v>595</v>
      </c>
      <c r="K148" t="s">
        <v>621</v>
      </c>
      <c r="L148" t="s">
        <v>526</v>
      </c>
      <c r="M148" t="s">
        <v>622</v>
      </c>
      <c r="P148" t="s">
        <v>537</v>
      </c>
      <c r="Q148" t="s">
        <v>595</v>
      </c>
      <c r="R148" t="s">
        <v>623</v>
      </c>
      <c r="S148" t="s">
        <v>526</v>
      </c>
      <c r="T148" t="s">
        <v>624</v>
      </c>
    </row>
    <row r="149" spans="2:20" x14ac:dyDescent="0.45">
      <c r="B149" t="s">
        <v>537</v>
      </c>
      <c r="C149" t="s">
        <v>596</v>
      </c>
      <c r="D149" t="s">
        <v>525</v>
      </c>
      <c r="E149" t="s">
        <v>526</v>
      </c>
      <c r="F149">
        <f t="shared" si="11"/>
        <v>8.0289801368622401E-3</v>
      </c>
      <c r="I149" t="s">
        <v>537</v>
      </c>
      <c r="J149" t="s">
        <v>596</v>
      </c>
      <c r="K149" t="s">
        <v>621</v>
      </c>
      <c r="L149" t="s">
        <v>526</v>
      </c>
      <c r="M149" t="s">
        <v>622</v>
      </c>
      <c r="P149" t="s">
        <v>537</v>
      </c>
      <c r="Q149" t="s">
        <v>596</v>
      </c>
      <c r="R149" t="s">
        <v>623</v>
      </c>
      <c r="S149" t="s">
        <v>526</v>
      </c>
      <c r="T149" t="s">
        <v>624</v>
      </c>
    </row>
    <row r="150" spans="2:20" x14ac:dyDescent="0.45">
      <c r="B150" t="s">
        <v>537</v>
      </c>
      <c r="C150" t="s">
        <v>597</v>
      </c>
      <c r="D150" t="s">
        <v>525</v>
      </c>
      <c r="E150" t="s">
        <v>526</v>
      </c>
      <c r="F150">
        <f t="shared" si="11"/>
        <v>8.0289801368622401E-3</v>
      </c>
      <c r="I150" t="s">
        <v>537</v>
      </c>
      <c r="J150" t="s">
        <v>597</v>
      </c>
      <c r="K150" t="s">
        <v>621</v>
      </c>
      <c r="L150" t="s">
        <v>526</v>
      </c>
      <c r="M150" t="s">
        <v>622</v>
      </c>
      <c r="P150" t="s">
        <v>537</v>
      </c>
      <c r="Q150" t="s">
        <v>597</v>
      </c>
      <c r="R150" t="s">
        <v>623</v>
      </c>
      <c r="S150" t="s">
        <v>526</v>
      </c>
      <c r="T150" t="s">
        <v>624</v>
      </c>
    </row>
    <row r="151" spans="2:20" x14ac:dyDescent="0.45">
      <c r="B151" t="s">
        <v>537</v>
      </c>
      <c r="C151" t="s">
        <v>598</v>
      </c>
      <c r="D151" t="s">
        <v>525</v>
      </c>
      <c r="E151" t="s">
        <v>526</v>
      </c>
      <c r="F151">
        <f t="shared" si="11"/>
        <v>8.0289801368622401E-3</v>
      </c>
      <c r="I151" t="s">
        <v>537</v>
      </c>
      <c r="J151" t="s">
        <v>598</v>
      </c>
      <c r="K151" t="s">
        <v>621</v>
      </c>
      <c r="L151" t="s">
        <v>526</v>
      </c>
      <c r="M151" t="s">
        <v>622</v>
      </c>
      <c r="P151" t="s">
        <v>537</v>
      </c>
      <c r="Q151" t="s">
        <v>598</v>
      </c>
      <c r="R151" t="s">
        <v>623</v>
      </c>
      <c r="S151" t="s">
        <v>526</v>
      </c>
      <c r="T151" t="s">
        <v>624</v>
      </c>
    </row>
    <row r="152" spans="2:20" x14ac:dyDescent="0.45">
      <c r="B152" t="s">
        <v>537</v>
      </c>
      <c r="C152" t="s">
        <v>599</v>
      </c>
      <c r="D152" t="s">
        <v>525</v>
      </c>
      <c r="E152" t="s">
        <v>526</v>
      </c>
      <c r="F152">
        <f t="shared" si="11"/>
        <v>8.0289801368622401E-3</v>
      </c>
      <c r="I152" t="s">
        <v>537</v>
      </c>
      <c r="J152" t="s">
        <v>599</v>
      </c>
      <c r="K152" t="s">
        <v>621</v>
      </c>
      <c r="L152" t="s">
        <v>526</v>
      </c>
      <c r="M152" t="s">
        <v>622</v>
      </c>
      <c r="P152" t="s">
        <v>537</v>
      </c>
      <c r="Q152" t="s">
        <v>599</v>
      </c>
      <c r="R152" t="s">
        <v>623</v>
      </c>
      <c r="S152" t="s">
        <v>526</v>
      </c>
      <c r="T152" t="s">
        <v>624</v>
      </c>
    </row>
    <row r="153" spans="2:20" x14ac:dyDescent="0.45">
      <c r="B153" t="s">
        <v>537</v>
      </c>
      <c r="C153" t="s">
        <v>600</v>
      </c>
      <c r="D153" t="s">
        <v>525</v>
      </c>
      <c r="E153" t="s">
        <v>526</v>
      </c>
      <c r="F153">
        <f t="shared" si="11"/>
        <v>8.0289801368622401E-3</v>
      </c>
      <c r="I153" t="s">
        <v>537</v>
      </c>
      <c r="J153" t="s">
        <v>600</v>
      </c>
      <c r="K153" t="s">
        <v>621</v>
      </c>
      <c r="L153" t="s">
        <v>526</v>
      </c>
      <c r="M153" t="s">
        <v>622</v>
      </c>
      <c r="P153" t="s">
        <v>537</v>
      </c>
      <c r="Q153" t="s">
        <v>600</v>
      </c>
      <c r="R153" t="s">
        <v>623</v>
      </c>
      <c r="S153" t="s">
        <v>526</v>
      </c>
      <c r="T153" t="s">
        <v>624</v>
      </c>
    </row>
    <row r="154" spans="2:20" x14ac:dyDescent="0.45">
      <c r="B154" t="s">
        <v>537</v>
      </c>
      <c r="C154" t="s">
        <v>601</v>
      </c>
      <c r="D154" t="s">
        <v>525</v>
      </c>
      <c r="E154" t="s">
        <v>526</v>
      </c>
      <c r="F154">
        <f t="shared" si="11"/>
        <v>8.0289801368622401E-3</v>
      </c>
      <c r="I154" t="s">
        <v>537</v>
      </c>
      <c r="J154" t="s">
        <v>601</v>
      </c>
      <c r="K154" t="s">
        <v>621</v>
      </c>
      <c r="L154" t="s">
        <v>526</v>
      </c>
      <c r="M154" t="s">
        <v>622</v>
      </c>
      <c r="P154" t="s">
        <v>537</v>
      </c>
      <c r="Q154" t="s">
        <v>601</v>
      </c>
      <c r="R154" t="s">
        <v>623</v>
      </c>
      <c r="S154" t="s">
        <v>526</v>
      </c>
      <c r="T154" t="s">
        <v>624</v>
      </c>
    </row>
    <row r="157" spans="2:20" s="80" customFormat="1" x14ac:dyDescent="0.45">
      <c r="B157" s="80" t="s">
        <v>620</v>
      </c>
    </row>
    <row r="159" spans="2:20" x14ac:dyDescent="0.45">
      <c r="B159" t="s">
        <v>957</v>
      </c>
    </row>
    <row r="161" spans="2:6" x14ac:dyDescent="0.45">
      <c r="B161" t="s">
        <v>8</v>
      </c>
      <c r="C161" t="s">
        <v>236</v>
      </c>
      <c r="F161" t="s">
        <v>963</v>
      </c>
    </row>
    <row r="162" spans="2:6" x14ac:dyDescent="0.45">
      <c r="B162" t="s">
        <v>329</v>
      </c>
      <c r="C162" s="2">
        <v>179.41771716434101</v>
      </c>
      <c r="E162" t="s">
        <v>69</v>
      </c>
      <c r="F162" s="2">
        <v>2081.5</v>
      </c>
    </row>
    <row r="163" spans="2:6" x14ac:dyDescent="0.45">
      <c r="B163" t="s">
        <v>340</v>
      </c>
      <c r="C163" s="2">
        <v>363.08958113641501</v>
      </c>
      <c r="E163" t="s">
        <v>68</v>
      </c>
      <c r="F163">
        <v>8141</v>
      </c>
    </row>
    <row r="164" spans="2:6" x14ac:dyDescent="0.45">
      <c r="B164" t="s">
        <v>335</v>
      </c>
      <c r="C164" s="2">
        <v>615.88484192637702</v>
      </c>
      <c r="E164" t="s">
        <v>70</v>
      </c>
    </row>
    <row r="165" spans="2:6" x14ac:dyDescent="0.45">
      <c r="B165" t="s">
        <v>332</v>
      </c>
      <c r="C165" s="2">
        <v>222.22307201755001</v>
      </c>
    </row>
    <row r="166" spans="2:6" x14ac:dyDescent="0.45">
      <c r="B166" t="s">
        <v>406</v>
      </c>
      <c r="C166" s="2">
        <v>259.07565540325999</v>
      </c>
    </row>
    <row r="167" spans="2:6" x14ac:dyDescent="0.45">
      <c r="B167" t="s">
        <v>404</v>
      </c>
      <c r="C167" s="2">
        <v>217.31429472204499</v>
      </c>
    </row>
    <row r="168" spans="2:6" x14ac:dyDescent="0.45">
      <c r="B168" t="s">
        <v>394</v>
      </c>
      <c r="C168" s="2">
        <v>232.48003627347398</v>
      </c>
    </row>
    <row r="169" spans="2:6" x14ac:dyDescent="0.45">
      <c r="B169" t="s">
        <v>393</v>
      </c>
      <c r="C169" s="2">
        <v>224.95947157898601</v>
      </c>
    </row>
    <row r="170" spans="2:6" x14ac:dyDescent="0.45">
      <c r="B170" t="s">
        <v>426</v>
      </c>
      <c r="C170" s="2">
        <v>784.02630675541297</v>
      </c>
    </row>
    <row r="171" spans="2:6" x14ac:dyDescent="0.45">
      <c r="B171" t="s">
        <v>416</v>
      </c>
      <c r="C171" s="2">
        <v>291.96508176956701</v>
      </c>
    </row>
    <row r="172" spans="2:6" x14ac:dyDescent="0.45">
      <c r="B172" t="s">
        <v>385</v>
      </c>
      <c r="C172" s="2">
        <v>232.699057975562</v>
      </c>
    </row>
    <row r="173" spans="2:6" x14ac:dyDescent="0.45">
      <c r="B173" t="s">
        <v>377</v>
      </c>
      <c r="C173" s="2">
        <v>294.33070056182902</v>
      </c>
    </row>
    <row r="174" spans="2:6" x14ac:dyDescent="0.45">
      <c r="B174" t="s">
        <v>370</v>
      </c>
      <c r="C174" s="2">
        <v>406.75679060361205</v>
      </c>
    </row>
    <row r="175" spans="2:6" x14ac:dyDescent="0.45">
      <c r="B175" t="s">
        <v>365</v>
      </c>
      <c r="C175" s="2">
        <v>295.54698928097599</v>
      </c>
    </row>
    <row r="176" spans="2:6" x14ac:dyDescent="0.45">
      <c r="B176" t="s">
        <v>368</v>
      </c>
      <c r="C176" s="2">
        <v>462.87289738496798</v>
      </c>
    </row>
    <row r="177" spans="2:3" x14ac:dyDescent="0.45">
      <c r="B177" s="120" t="s">
        <v>358</v>
      </c>
      <c r="C177" s="121">
        <v>300.172722556525</v>
      </c>
    </row>
    <row r="178" spans="2:3" x14ac:dyDescent="0.45">
      <c r="B178" t="s">
        <v>231</v>
      </c>
      <c r="C178" s="2">
        <f>AVERAGE(C162:C177)</f>
        <v>336.42595106943122</v>
      </c>
    </row>
    <row r="182" spans="2:3" x14ac:dyDescent="0.45">
      <c r="B182" t="s">
        <v>959</v>
      </c>
    </row>
    <row r="183" spans="2:3" x14ac:dyDescent="0.45">
      <c r="C183" t="s">
        <v>958</v>
      </c>
    </row>
    <row r="184" spans="2:3" x14ac:dyDescent="0.45">
      <c r="C184" t="s">
        <v>960</v>
      </c>
    </row>
    <row r="185" spans="2:3" x14ac:dyDescent="0.45">
      <c r="C185" t="s">
        <v>961</v>
      </c>
    </row>
    <row r="186" spans="2:3" x14ac:dyDescent="0.45">
      <c r="C186" t="s">
        <v>962</v>
      </c>
    </row>
    <row r="204" spans="10:10" x14ac:dyDescent="0.45">
      <c r="J204" t="s">
        <v>231</v>
      </c>
    </row>
    <row r="205" spans="10:10" x14ac:dyDescent="0.45">
      <c r="J205">
        <f>(372+1464)/2</f>
        <v>918</v>
      </c>
    </row>
    <row r="222" spans="2:24" x14ac:dyDescent="0.45">
      <c r="B222" t="s">
        <v>527</v>
      </c>
      <c r="C222" t="s">
        <v>633</v>
      </c>
      <c r="D222" t="s">
        <v>528</v>
      </c>
      <c r="E222" t="s">
        <v>968</v>
      </c>
      <c r="F222" t="s">
        <v>967</v>
      </c>
      <c r="G222" t="s">
        <v>626</v>
      </c>
      <c r="K222" t="s">
        <v>527</v>
      </c>
      <c r="L222" t="s">
        <v>659</v>
      </c>
      <c r="M222" t="s">
        <v>528</v>
      </c>
      <c r="N222" t="s">
        <v>968</v>
      </c>
      <c r="O222" t="s">
        <v>967</v>
      </c>
      <c r="P222" t="s">
        <v>626</v>
      </c>
      <c r="S222" t="s">
        <v>527</v>
      </c>
      <c r="T222" t="s">
        <v>691</v>
      </c>
      <c r="U222" t="s">
        <v>528</v>
      </c>
      <c r="V222" t="s">
        <v>968</v>
      </c>
      <c r="W222" t="s">
        <v>967</v>
      </c>
      <c r="X222" t="s">
        <v>626</v>
      </c>
    </row>
    <row r="223" spans="2:24" x14ac:dyDescent="0.45">
      <c r="B223" t="s">
        <v>527</v>
      </c>
      <c r="C223" t="s">
        <v>628</v>
      </c>
      <c r="D223" t="s">
        <v>528</v>
      </c>
      <c r="E223" t="s">
        <v>968</v>
      </c>
      <c r="F223" t="s">
        <v>967</v>
      </c>
      <c r="G223" t="s">
        <v>626</v>
      </c>
      <c r="K223" t="s">
        <v>527</v>
      </c>
      <c r="L223" t="s">
        <v>660</v>
      </c>
      <c r="M223" t="s">
        <v>528</v>
      </c>
      <c r="N223" t="s">
        <v>968</v>
      </c>
      <c r="O223" t="s">
        <v>967</v>
      </c>
      <c r="P223" t="s">
        <v>626</v>
      </c>
      <c r="S223" t="s">
        <v>527</v>
      </c>
      <c r="T223" t="s">
        <v>692</v>
      </c>
      <c r="U223" t="s">
        <v>528</v>
      </c>
      <c r="V223" t="s">
        <v>968</v>
      </c>
      <c r="W223" t="s">
        <v>967</v>
      </c>
      <c r="X223" t="s">
        <v>626</v>
      </c>
    </row>
    <row r="224" spans="2:24" x14ac:dyDescent="0.45">
      <c r="B224" t="s">
        <v>527</v>
      </c>
      <c r="C224" t="s">
        <v>644</v>
      </c>
      <c r="D224" t="s">
        <v>528</v>
      </c>
      <c r="E224" t="s">
        <v>968</v>
      </c>
      <c r="F224" t="s">
        <v>967</v>
      </c>
      <c r="G224" t="s">
        <v>626</v>
      </c>
      <c r="K224" t="s">
        <v>527</v>
      </c>
      <c r="L224" t="s">
        <v>661</v>
      </c>
      <c r="M224" t="s">
        <v>528</v>
      </c>
      <c r="N224" t="s">
        <v>968</v>
      </c>
      <c r="O224" t="s">
        <v>967</v>
      </c>
      <c r="P224" t="s">
        <v>626</v>
      </c>
      <c r="S224" t="s">
        <v>527</v>
      </c>
      <c r="T224" t="s">
        <v>693</v>
      </c>
      <c r="U224" t="s">
        <v>528</v>
      </c>
      <c r="V224" t="s">
        <v>968</v>
      </c>
      <c r="W224" t="s">
        <v>967</v>
      </c>
      <c r="X224" t="s">
        <v>626</v>
      </c>
    </row>
    <row r="225" spans="2:24" x14ac:dyDescent="0.45">
      <c r="B225" t="s">
        <v>527</v>
      </c>
      <c r="C225" t="s">
        <v>638</v>
      </c>
      <c r="D225" t="s">
        <v>528</v>
      </c>
      <c r="E225" t="s">
        <v>968</v>
      </c>
      <c r="F225" t="s">
        <v>967</v>
      </c>
      <c r="G225" t="s">
        <v>626</v>
      </c>
      <c r="K225" t="s">
        <v>527</v>
      </c>
      <c r="L225" t="s">
        <v>662</v>
      </c>
      <c r="M225" t="s">
        <v>528</v>
      </c>
      <c r="N225" t="s">
        <v>968</v>
      </c>
      <c r="O225" t="s">
        <v>967</v>
      </c>
      <c r="P225" t="s">
        <v>626</v>
      </c>
      <c r="S225" t="s">
        <v>527</v>
      </c>
      <c r="T225" t="s">
        <v>694</v>
      </c>
      <c r="U225" t="s">
        <v>528</v>
      </c>
      <c r="V225" t="s">
        <v>968</v>
      </c>
      <c r="W225" t="s">
        <v>967</v>
      </c>
      <c r="X225" t="s">
        <v>626</v>
      </c>
    </row>
    <row r="226" spans="2:24" x14ac:dyDescent="0.45">
      <c r="B226" t="s">
        <v>527</v>
      </c>
      <c r="C226" t="s">
        <v>645</v>
      </c>
      <c r="D226" t="s">
        <v>528</v>
      </c>
      <c r="E226" t="s">
        <v>968</v>
      </c>
      <c r="F226" t="s">
        <v>967</v>
      </c>
      <c r="G226" t="s">
        <v>626</v>
      </c>
      <c r="K226" t="s">
        <v>527</v>
      </c>
      <c r="L226" t="s">
        <v>663</v>
      </c>
      <c r="M226" t="s">
        <v>528</v>
      </c>
      <c r="N226" t="s">
        <v>968</v>
      </c>
      <c r="O226" t="s">
        <v>967</v>
      </c>
      <c r="P226" t="s">
        <v>626</v>
      </c>
      <c r="S226" t="s">
        <v>527</v>
      </c>
      <c r="T226" t="s">
        <v>695</v>
      </c>
      <c r="U226" t="s">
        <v>528</v>
      </c>
      <c r="V226" t="s">
        <v>968</v>
      </c>
      <c r="W226" t="s">
        <v>967</v>
      </c>
      <c r="X226" t="s">
        <v>626</v>
      </c>
    </row>
    <row r="227" spans="2:24" x14ac:dyDescent="0.45">
      <c r="B227" t="s">
        <v>527</v>
      </c>
      <c r="C227" t="s">
        <v>646</v>
      </c>
      <c r="D227" t="s">
        <v>528</v>
      </c>
      <c r="E227" t="s">
        <v>968</v>
      </c>
      <c r="F227" t="s">
        <v>967</v>
      </c>
      <c r="G227" t="s">
        <v>626</v>
      </c>
      <c r="K227" t="s">
        <v>527</v>
      </c>
      <c r="L227" t="s">
        <v>664</v>
      </c>
      <c r="M227" t="s">
        <v>528</v>
      </c>
      <c r="N227" t="s">
        <v>968</v>
      </c>
      <c r="O227" t="s">
        <v>967</v>
      </c>
      <c r="P227" t="s">
        <v>626</v>
      </c>
      <c r="S227" t="s">
        <v>527</v>
      </c>
      <c r="T227" t="s">
        <v>696</v>
      </c>
      <c r="U227" t="s">
        <v>528</v>
      </c>
      <c r="V227" t="s">
        <v>968</v>
      </c>
      <c r="W227" t="s">
        <v>967</v>
      </c>
      <c r="X227" t="s">
        <v>626</v>
      </c>
    </row>
    <row r="228" spans="2:24" x14ac:dyDescent="0.45">
      <c r="B228" t="s">
        <v>527</v>
      </c>
      <c r="C228" t="s">
        <v>642</v>
      </c>
      <c r="D228" t="s">
        <v>528</v>
      </c>
      <c r="E228" t="s">
        <v>968</v>
      </c>
      <c r="F228" t="s">
        <v>967</v>
      </c>
      <c r="G228" t="s">
        <v>626</v>
      </c>
      <c r="K228" t="s">
        <v>527</v>
      </c>
      <c r="L228" t="s">
        <v>665</v>
      </c>
      <c r="M228" t="s">
        <v>528</v>
      </c>
      <c r="N228" t="s">
        <v>968</v>
      </c>
      <c r="O228" t="s">
        <v>967</v>
      </c>
      <c r="P228" t="s">
        <v>626</v>
      </c>
      <c r="S228" t="s">
        <v>527</v>
      </c>
      <c r="T228" t="s">
        <v>697</v>
      </c>
      <c r="U228" t="s">
        <v>528</v>
      </c>
      <c r="V228" t="s">
        <v>968</v>
      </c>
      <c r="W228" t="s">
        <v>967</v>
      </c>
      <c r="X228" t="s">
        <v>626</v>
      </c>
    </row>
    <row r="229" spans="2:24" x14ac:dyDescent="0.45">
      <c r="B229" t="s">
        <v>527</v>
      </c>
      <c r="C229" t="s">
        <v>636</v>
      </c>
      <c r="D229" t="s">
        <v>528</v>
      </c>
      <c r="E229" t="s">
        <v>968</v>
      </c>
      <c r="F229" t="s">
        <v>967</v>
      </c>
      <c r="G229" t="s">
        <v>626</v>
      </c>
      <c r="K229" t="s">
        <v>527</v>
      </c>
      <c r="L229" t="s">
        <v>666</v>
      </c>
      <c r="M229" t="s">
        <v>528</v>
      </c>
      <c r="N229" t="s">
        <v>968</v>
      </c>
      <c r="O229" t="s">
        <v>967</v>
      </c>
      <c r="P229" t="s">
        <v>626</v>
      </c>
      <c r="S229" t="s">
        <v>527</v>
      </c>
      <c r="T229" t="s">
        <v>698</v>
      </c>
      <c r="U229" t="s">
        <v>528</v>
      </c>
      <c r="V229" t="s">
        <v>968</v>
      </c>
      <c r="W229" t="s">
        <v>967</v>
      </c>
      <c r="X229" t="s">
        <v>626</v>
      </c>
    </row>
    <row r="230" spans="2:24" x14ac:dyDescent="0.45">
      <c r="B230" t="s">
        <v>527</v>
      </c>
      <c r="C230" t="s">
        <v>647</v>
      </c>
      <c r="D230" t="s">
        <v>528</v>
      </c>
      <c r="E230" t="s">
        <v>968</v>
      </c>
      <c r="F230" t="s">
        <v>967</v>
      </c>
      <c r="G230" t="s">
        <v>626</v>
      </c>
      <c r="K230" t="s">
        <v>527</v>
      </c>
      <c r="L230" t="s">
        <v>667</v>
      </c>
      <c r="M230" t="s">
        <v>528</v>
      </c>
      <c r="N230" t="s">
        <v>968</v>
      </c>
      <c r="O230" t="s">
        <v>967</v>
      </c>
      <c r="P230" t="s">
        <v>626</v>
      </c>
      <c r="S230" t="s">
        <v>527</v>
      </c>
      <c r="T230" t="s">
        <v>699</v>
      </c>
      <c r="U230" t="s">
        <v>528</v>
      </c>
      <c r="V230" t="s">
        <v>968</v>
      </c>
      <c r="W230" t="s">
        <v>967</v>
      </c>
      <c r="X230" t="s">
        <v>626</v>
      </c>
    </row>
    <row r="231" spans="2:24" x14ac:dyDescent="0.45">
      <c r="B231" t="s">
        <v>527</v>
      </c>
      <c r="C231" t="s">
        <v>641</v>
      </c>
      <c r="D231" t="s">
        <v>528</v>
      </c>
      <c r="E231" t="s">
        <v>968</v>
      </c>
      <c r="F231" t="s">
        <v>967</v>
      </c>
      <c r="G231" t="s">
        <v>626</v>
      </c>
      <c r="K231" t="s">
        <v>527</v>
      </c>
      <c r="L231" t="s">
        <v>668</v>
      </c>
      <c r="M231" t="s">
        <v>528</v>
      </c>
      <c r="N231" t="s">
        <v>968</v>
      </c>
      <c r="O231" t="s">
        <v>967</v>
      </c>
      <c r="P231" t="s">
        <v>626</v>
      </c>
      <c r="S231" t="s">
        <v>527</v>
      </c>
      <c r="T231" t="s">
        <v>700</v>
      </c>
      <c r="U231" t="s">
        <v>528</v>
      </c>
      <c r="V231" t="s">
        <v>968</v>
      </c>
      <c r="W231" t="s">
        <v>967</v>
      </c>
      <c r="X231" t="s">
        <v>626</v>
      </c>
    </row>
    <row r="232" spans="2:24" x14ac:dyDescent="0.45">
      <c r="B232" t="s">
        <v>527</v>
      </c>
      <c r="C232" t="s">
        <v>631</v>
      </c>
      <c r="D232" t="s">
        <v>528</v>
      </c>
      <c r="E232" t="s">
        <v>968</v>
      </c>
      <c r="F232" t="s">
        <v>967</v>
      </c>
      <c r="G232" t="s">
        <v>626</v>
      </c>
      <c r="K232" t="s">
        <v>527</v>
      </c>
      <c r="L232" t="s">
        <v>669</v>
      </c>
      <c r="M232" t="s">
        <v>528</v>
      </c>
      <c r="N232" t="s">
        <v>968</v>
      </c>
      <c r="O232" t="s">
        <v>967</v>
      </c>
      <c r="P232" t="s">
        <v>626</v>
      </c>
      <c r="S232" t="s">
        <v>527</v>
      </c>
      <c r="T232" t="s">
        <v>701</v>
      </c>
      <c r="U232" t="s">
        <v>528</v>
      </c>
      <c r="V232" t="s">
        <v>968</v>
      </c>
      <c r="W232" t="s">
        <v>967</v>
      </c>
      <c r="X232" t="s">
        <v>626</v>
      </c>
    </row>
    <row r="233" spans="2:24" x14ac:dyDescent="0.45">
      <c r="B233" t="s">
        <v>527</v>
      </c>
      <c r="C233" t="s">
        <v>632</v>
      </c>
      <c r="D233" t="s">
        <v>528</v>
      </c>
      <c r="E233" t="s">
        <v>968</v>
      </c>
      <c r="F233" t="s">
        <v>967</v>
      </c>
      <c r="G233" t="s">
        <v>626</v>
      </c>
      <c r="K233" t="s">
        <v>527</v>
      </c>
      <c r="L233" t="s">
        <v>670</v>
      </c>
      <c r="M233" t="s">
        <v>528</v>
      </c>
      <c r="N233" t="s">
        <v>968</v>
      </c>
      <c r="O233" t="s">
        <v>967</v>
      </c>
      <c r="P233" t="s">
        <v>626</v>
      </c>
      <c r="S233" t="s">
        <v>527</v>
      </c>
      <c r="T233" t="s">
        <v>702</v>
      </c>
      <c r="U233" t="s">
        <v>528</v>
      </c>
      <c r="V233" t="s">
        <v>968</v>
      </c>
      <c r="W233" t="s">
        <v>967</v>
      </c>
      <c r="X233" t="s">
        <v>626</v>
      </c>
    </row>
    <row r="234" spans="2:24" x14ac:dyDescent="0.45">
      <c r="B234" t="s">
        <v>527</v>
      </c>
      <c r="C234" t="s">
        <v>648</v>
      </c>
      <c r="D234" t="s">
        <v>528</v>
      </c>
      <c r="E234" t="s">
        <v>968</v>
      </c>
      <c r="F234" t="s">
        <v>967</v>
      </c>
      <c r="G234" t="s">
        <v>626</v>
      </c>
      <c r="K234" t="s">
        <v>527</v>
      </c>
      <c r="L234" t="s">
        <v>671</v>
      </c>
      <c r="M234" t="s">
        <v>528</v>
      </c>
      <c r="N234" t="s">
        <v>968</v>
      </c>
      <c r="O234" t="s">
        <v>967</v>
      </c>
      <c r="P234" t="s">
        <v>626</v>
      </c>
      <c r="S234" t="s">
        <v>527</v>
      </c>
      <c r="T234" t="s">
        <v>703</v>
      </c>
      <c r="U234" t="s">
        <v>528</v>
      </c>
      <c r="V234" t="s">
        <v>968</v>
      </c>
      <c r="W234" t="s">
        <v>967</v>
      </c>
      <c r="X234" t="s">
        <v>626</v>
      </c>
    </row>
    <row r="235" spans="2:24" x14ac:dyDescent="0.45">
      <c r="B235" s="126" t="s">
        <v>527</v>
      </c>
      <c r="C235" s="126" t="s">
        <v>640</v>
      </c>
      <c r="D235" s="126" t="s">
        <v>528</v>
      </c>
      <c r="E235" s="126" t="s">
        <v>968</v>
      </c>
      <c r="F235" s="126" t="s">
        <v>967</v>
      </c>
      <c r="G235" s="126" t="s">
        <v>626</v>
      </c>
      <c r="H235" s="126"/>
      <c r="I235" s="126"/>
      <c r="J235" s="126"/>
      <c r="K235" s="126" t="s">
        <v>527</v>
      </c>
      <c r="L235" s="126" t="s">
        <v>672</v>
      </c>
      <c r="M235" s="126" t="s">
        <v>528</v>
      </c>
      <c r="N235" s="126" t="s">
        <v>968</v>
      </c>
      <c r="O235" s="126" t="s">
        <v>967</v>
      </c>
      <c r="P235" s="126" t="s">
        <v>626</v>
      </c>
      <c r="Q235" s="126"/>
      <c r="R235" s="126"/>
      <c r="S235" s="126" t="s">
        <v>527</v>
      </c>
      <c r="T235" s="126" t="s">
        <v>704</v>
      </c>
      <c r="U235" s="126" t="s">
        <v>528</v>
      </c>
      <c r="V235" s="126" t="s">
        <v>968</v>
      </c>
      <c r="W235" s="126" t="s">
        <v>967</v>
      </c>
      <c r="X235" s="126" t="s">
        <v>626</v>
      </c>
    </row>
    <row r="236" spans="2:24" x14ac:dyDescent="0.45">
      <c r="B236" t="s">
        <v>527</v>
      </c>
      <c r="C236" t="s">
        <v>649</v>
      </c>
      <c r="D236" t="s">
        <v>528</v>
      </c>
      <c r="E236" t="s">
        <v>968</v>
      </c>
      <c r="F236" t="s">
        <v>967</v>
      </c>
      <c r="G236" t="s">
        <v>626</v>
      </c>
      <c r="K236" t="s">
        <v>527</v>
      </c>
      <c r="L236" t="s">
        <v>673</v>
      </c>
      <c r="M236" t="s">
        <v>528</v>
      </c>
      <c r="N236" t="s">
        <v>968</v>
      </c>
      <c r="O236" t="s">
        <v>967</v>
      </c>
      <c r="P236" t="s">
        <v>626</v>
      </c>
      <c r="S236" t="s">
        <v>527</v>
      </c>
      <c r="T236" t="s">
        <v>705</v>
      </c>
      <c r="U236" t="s">
        <v>528</v>
      </c>
      <c r="V236" t="s">
        <v>968</v>
      </c>
      <c r="W236" t="s">
        <v>967</v>
      </c>
      <c r="X236" t="s">
        <v>626</v>
      </c>
    </row>
    <row r="237" spans="2:24" x14ac:dyDescent="0.45">
      <c r="B237" t="s">
        <v>527</v>
      </c>
      <c r="C237" t="s">
        <v>635</v>
      </c>
      <c r="D237" t="s">
        <v>528</v>
      </c>
      <c r="E237" t="s">
        <v>968</v>
      </c>
      <c r="F237" t="s">
        <v>967</v>
      </c>
      <c r="G237" t="s">
        <v>626</v>
      </c>
      <c r="K237" t="s">
        <v>527</v>
      </c>
      <c r="L237" t="s">
        <v>674</v>
      </c>
      <c r="M237" t="s">
        <v>528</v>
      </c>
      <c r="N237" t="s">
        <v>968</v>
      </c>
      <c r="O237" t="s">
        <v>967</v>
      </c>
      <c r="P237" t="s">
        <v>626</v>
      </c>
      <c r="S237" t="s">
        <v>527</v>
      </c>
      <c r="T237" t="s">
        <v>706</v>
      </c>
      <c r="U237" t="s">
        <v>528</v>
      </c>
      <c r="V237" t="s">
        <v>968</v>
      </c>
      <c r="W237" t="s">
        <v>967</v>
      </c>
      <c r="X237" t="s">
        <v>626</v>
      </c>
    </row>
    <row r="238" spans="2:24" x14ac:dyDescent="0.45">
      <c r="B238" t="s">
        <v>527</v>
      </c>
      <c r="C238" t="s">
        <v>650</v>
      </c>
      <c r="D238" t="s">
        <v>528</v>
      </c>
      <c r="E238" t="s">
        <v>968</v>
      </c>
      <c r="F238" t="s">
        <v>967</v>
      </c>
      <c r="G238" t="s">
        <v>626</v>
      </c>
      <c r="K238" t="s">
        <v>527</v>
      </c>
      <c r="L238" t="s">
        <v>675</v>
      </c>
      <c r="M238" t="s">
        <v>528</v>
      </c>
      <c r="N238" t="s">
        <v>968</v>
      </c>
      <c r="O238" t="s">
        <v>967</v>
      </c>
      <c r="P238" t="s">
        <v>626</v>
      </c>
      <c r="S238" t="s">
        <v>527</v>
      </c>
      <c r="T238" t="s">
        <v>707</v>
      </c>
      <c r="U238" t="s">
        <v>528</v>
      </c>
      <c r="V238" t="s">
        <v>968</v>
      </c>
      <c r="W238" t="s">
        <v>967</v>
      </c>
      <c r="X238" t="s">
        <v>626</v>
      </c>
    </row>
    <row r="239" spans="2:24" x14ac:dyDescent="0.45">
      <c r="B239" t="s">
        <v>527</v>
      </c>
      <c r="C239" t="s">
        <v>651</v>
      </c>
      <c r="D239" t="s">
        <v>528</v>
      </c>
      <c r="E239" t="s">
        <v>968</v>
      </c>
      <c r="F239" t="s">
        <v>967</v>
      </c>
      <c r="G239" t="s">
        <v>626</v>
      </c>
      <c r="K239" t="s">
        <v>527</v>
      </c>
      <c r="L239" t="s">
        <v>676</v>
      </c>
      <c r="M239" t="s">
        <v>528</v>
      </c>
      <c r="N239" t="s">
        <v>968</v>
      </c>
      <c r="O239" t="s">
        <v>967</v>
      </c>
      <c r="P239" t="s">
        <v>626</v>
      </c>
      <c r="S239" t="s">
        <v>527</v>
      </c>
      <c r="T239" t="s">
        <v>708</v>
      </c>
      <c r="U239" t="s">
        <v>528</v>
      </c>
      <c r="V239" t="s">
        <v>968</v>
      </c>
      <c r="W239" t="s">
        <v>967</v>
      </c>
      <c r="X239" t="s">
        <v>626</v>
      </c>
    </row>
    <row r="240" spans="2:24" x14ac:dyDescent="0.45">
      <c r="B240" t="s">
        <v>527</v>
      </c>
      <c r="C240" t="s">
        <v>652</v>
      </c>
      <c r="D240" t="s">
        <v>528</v>
      </c>
      <c r="E240" t="s">
        <v>968</v>
      </c>
      <c r="F240" t="s">
        <v>967</v>
      </c>
      <c r="G240" t="s">
        <v>626</v>
      </c>
      <c r="K240" t="s">
        <v>527</v>
      </c>
      <c r="L240" t="s">
        <v>677</v>
      </c>
      <c r="M240" t="s">
        <v>528</v>
      </c>
      <c r="N240" t="s">
        <v>968</v>
      </c>
      <c r="O240" t="s">
        <v>967</v>
      </c>
      <c r="P240" t="s">
        <v>626</v>
      </c>
      <c r="S240" t="s">
        <v>527</v>
      </c>
      <c r="T240" t="s">
        <v>709</v>
      </c>
      <c r="U240" t="s">
        <v>528</v>
      </c>
      <c r="V240" t="s">
        <v>968</v>
      </c>
      <c r="W240" t="s">
        <v>967</v>
      </c>
      <c r="X240" t="s">
        <v>626</v>
      </c>
    </row>
    <row r="241" spans="2:24" x14ac:dyDescent="0.45">
      <c r="B241" t="s">
        <v>527</v>
      </c>
      <c r="C241" t="s">
        <v>627</v>
      </c>
      <c r="D241" t="s">
        <v>528</v>
      </c>
      <c r="E241" t="s">
        <v>968</v>
      </c>
      <c r="F241" t="s">
        <v>967</v>
      </c>
      <c r="G241" t="s">
        <v>626</v>
      </c>
      <c r="K241" t="s">
        <v>527</v>
      </c>
      <c r="L241" t="s">
        <v>678</v>
      </c>
      <c r="M241" t="s">
        <v>528</v>
      </c>
      <c r="N241" t="s">
        <v>968</v>
      </c>
      <c r="O241" t="s">
        <v>967</v>
      </c>
      <c r="P241" t="s">
        <v>626</v>
      </c>
      <c r="S241" t="s">
        <v>527</v>
      </c>
      <c r="T241" t="s">
        <v>710</v>
      </c>
      <c r="U241" t="s">
        <v>528</v>
      </c>
      <c r="V241" t="s">
        <v>968</v>
      </c>
      <c r="W241" t="s">
        <v>967</v>
      </c>
      <c r="X241" t="s">
        <v>626</v>
      </c>
    </row>
    <row r="242" spans="2:24" x14ac:dyDescent="0.45">
      <c r="B242" t="s">
        <v>527</v>
      </c>
      <c r="C242" t="s">
        <v>643</v>
      </c>
      <c r="D242" t="s">
        <v>528</v>
      </c>
      <c r="E242" t="s">
        <v>968</v>
      </c>
      <c r="F242" t="s">
        <v>967</v>
      </c>
      <c r="G242" t="s">
        <v>626</v>
      </c>
      <c r="K242" t="s">
        <v>527</v>
      </c>
      <c r="L242" t="s">
        <v>679</v>
      </c>
      <c r="M242" t="s">
        <v>528</v>
      </c>
      <c r="N242" t="s">
        <v>968</v>
      </c>
      <c r="O242" t="s">
        <v>967</v>
      </c>
      <c r="P242" t="s">
        <v>626</v>
      </c>
      <c r="S242" t="s">
        <v>527</v>
      </c>
      <c r="T242" t="s">
        <v>711</v>
      </c>
      <c r="U242" t="s">
        <v>528</v>
      </c>
      <c r="V242" t="s">
        <v>968</v>
      </c>
      <c r="W242" t="s">
        <v>967</v>
      </c>
      <c r="X242" t="s">
        <v>626</v>
      </c>
    </row>
    <row r="243" spans="2:24" x14ac:dyDescent="0.45">
      <c r="B243" t="s">
        <v>527</v>
      </c>
      <c r="C243" t="s">
        <v>629</v>
      </c>
      <c r="D243" t="s">
        <v>528</v>
      </c>
      <c r="E243" t="s">
        <v>968</v>
      </c>
      <c r="F243" t="s">
        <v>967</v>
      </c>
      <c r="G243" t="s">
        <v>626</v>
      </c>
      <c r="K243" t="s">
        <v>527</v>
      </c>
      <c r="L243" t="s">
        <v>680</v>
      </c>
      <c r="M243" t="s">
        <v>528</v>
      </c>
      <c r="N243" t="s">
        <v>968</v>
      </c>
      <c r="O243" t="s">
        <v>967</v>
      </c>
      <c r="P243" t="s">
        <v>626</v>
      </c>
      <c r="S243" t="s">
        <v>527</v>
      </c>
      <c r="T243" t="s">
        <v>712</v>
      </c>
      <c r="U243" t="s">
        <v>528</v>
      </c>
      <c r="V243" t="s">
        <v>968</v>
      </c>
      <c r="W243" t="s">
        <v>967</v>
      </c>
      <c r="X243" t="s">
        <v>626</v>
      </c>
    </row>
    <row r="244" spans="2:24" x14ac:dyDescent="0.45">
      <c r="B244" t="s">
        <v>527</v>
      </c>
      <c r="C244" t="s">
        <v>639</v>
      </c>
      <c r="D244" t="s">
        <v>528</v>
      </c>
      <c r="E244" t="s">
        <v>968</v>
      </c>
      <c r="F244" t="s">
        <v>967</v>
      </c>
      <c r="G244" t="s">
        <v>626</v>
      </c>
      <c r="K244" t="s">
        <v>527</v>
      </c>
      <c r="L244" t="s">
        <v>681</v>
      </c>
      <c r="M244" t="s">
        <v>528</v>
      </c>
      <c r="N244" t="s">
        <v>968</v>
      </c>
      <c r="O244" t="s">
        <v>967</v>
      </c>
      <c r="P244" t="s">
        <v>626</v>
      </c>
      <c r="S244" t="s">
        <v>527</v>
      </c>
      <c r="T244" t="s">
        <v>713</v>
      </c>
      <c r="U244" t="s">
        <v>528</v>
      </c>
      <c r="V244" t="s">
        <v>968</v>
      </c>
      <c r="W244" t="s">
        <v>967</v>
      </c>
      <c r="X244" t="s">
        <v>626</v>
      </c>
    </row>
    <row r="245" spans="2:24" x14ac:dyDescent="0.45">
      <c r="B245" t="s">
        <v>527</v>
      </c>
      <c r="C245" t="s">
        <v>653</v>
      </c>
      <c r="D245" t="s">
        <v>528</v>
      </c>
      <c r="E245" t="s">
        <v>968</v>
      </c>
      <c r="F245" t="s">
        <v>967</v>
      </c>
      <c r="G245" t="s">
        <v>626</v>
      </c>
      <c r="K245" t="s">
        <v>527</v>
      </c>
      <c r="L245" t="s">
        <v>682</v>
      </c>
      <c r="M245" t="s">
        <v>528</v>
      </c>
      <c r="N245" t="s">
        <v>968</v>
      </c>
      <c r="O245" t="s">
        <v>967</v>
      </c>
      <c r="P245" t="s">
        <v>626</v>
      </c>
      <c r="S245" t="s">
        <v>527</v>
      </c>
      <c r="T245" t="s">
        <v>714</v>
      </c>
      <c r="U245" t="s">
        <v>528</v>
      </c>
      <c r="V245" t="s">
        <v>968</v>
      </c>
      <c r="W245" t="s">
        <v>967</v>
      </c>
      <c r="X245" t="s">
        <v>626</v>
      </c>
    </row>
    <row r="246" spans="2:24" x14ac:dyDescent="0.45">
      <c r="B246" t="s">
        <v>527</v>
      </c>
      <c r="C246" t="s">
        <v>630</v>
      </c>
      <c r="D246" t="s">
        <v>528</v>
      </c>
      <c r="E246" t="s">
        <v>968</v>
      </c>
      <c r="F246" t="s">
        <v>967</v>
      </c>
      <c r="G246" t="s">
        <v>626</v>
      </c>
      <c r="K246" t="s">
        <v>527</v>
      </c>
      <c r="L246" t="s">
        <v>683</v>
      </c>
      <c r="M246" t="s">
        <v>528</v>
      </c>
      <c r="N246" t="s">
        <v>968</v>
      </c>
      <c r="O246" t="s">
        <v>967</v>
      </c>
      <c r="P246" t="s">
        <v>626</v>
      </c>
      <c r="S246" t="s">
        <v>527</v>
      </c>
      <c r="T246" t="s">
        <v>715</v>
      </c>
      <c r="U246" t="s">
        <v>528</v>
      </c>
      <c r="V246" t="s">
        <v>968</v>
      </c>
      <c r="W246" t="s">
        <v>967</v>
      </c>
      <c r="X246" t="s">
        <v>626</v>
      </c>
    </row>
    <row r="247" spans="2:24" x14ac:dyDescent="0.45">
      <c r="B247" t="s">
        <v>527</v>
      </c>
      <c r="C247" t="s">
        <v>654</v>
      </c>
      <c r="D247" t="s">
        <v>528</v>
      </c>
      <c r="E247" t="s">
        <v>968</v>
      </c>
      <c r="F247" t="s">
        <v>967</v>
      </c>
      <c r="G247" t="s">
        <v>626</v>
      </c>
      <c r="K247" t="s">
        <v>527</v>
      </c>
      <c r="L247" t="s">
        <v>684</v>
      </c>
      <c r="M247" t="s">
        <v>528</v>
      </c>
      <c r="N247" t="s">
        <v>968</v>
      </c>
      <c r="O247" t="s">
        <v>967</v>
      </c>
      <c r="P247" t="s">
        <v>626</v>
      </c>
      <c r="S247" t="s">
        <v>527</v>
      </c>
      <c r="T247" t="s">
        <v>716</v>
      </c>
      <c r="U247" t="s">
        <v>528</v>
      </c>
      <c r="V247" t="s">
        <v>968</v>
      </c>
      <c r="W247" t="s">
        <v>967</v>
      </c>
      <c r="X247" t="s">
        <v>626</v>
      </c>
    </row>
    <row r="248" spans="2:24" x14ac:dyDescent="0.45">
      <c r="B248" t="s">
        <v>527</v>
      </c>
      <c r="C248" t="s">
        <v>637</v>
      </c>
      <c r="D248" t="s">
        <v>528</v>
      </c>
      <c r="E248" t="s">
        <v>968</v>
      </c>
      <c r="F248" t="s">
        <v>967</v>
      </c>
      <c r="G248" t="s">
        <v>626</v>
      </c>
      <c r="K248" t="s">
        <v>527</v>
      </c>
      <c r="L248" t="s">
        <v>685</v>
      </c>
      <c r="M248" t="s">
        <v>528</v>
      </c>
      <c r="N248" t="s">
        <v>968</v>
      </c>
      <c r="O248" t="s">
        <v>967</v>
      </c>
      <c r="P248" t="s">
        <v>626</v>
      </c>
      <c r="S248" t="s">
        <v>527</v>
      </c>
      <c r="T248" t="s">
        <v>717</v>
      </c>
      <c r="U248" t="s">
        <v>528</v>
      </c>
      <c r="V248" t="s">
        <v>968</v>
      </c>
      <c r="W248" t="s">
        <v>967</v>
      </c>
      <c r="X248" t="s">
        <v>626</v>
      </c>
    </row>
    <row r="249" spans="2:24" x14ac:dyDescent="0.45">
      <c r="B249" t="s">
        <v>527</v>
      </c>
      <c r="C249" t="s">
        <v>655</v>
      </c>
      <c r="D249" t="s">
        <v>528</v>
      </c>
      <c r="E249" t="s">
        <v>968</v>
      </c>
      <c r="F249" t="s">
        <v>967</v>
      </c>
      <c r="G249" t="s">
        <v>626</v>
      </c>
      <c r="K249" t="s">
        <v>527</v>
      </c>
      <c r="L249" t="s">
        <v>686</v>
      </c>
      <c r="M249" t="s">
        <v>528</v>
      </c>
      <c r="N249" t="s">
        <v>968</v>
      </c>
      <c r="O249" t="s">
        <v>967</v>
      </c>
      <c r="P249" t="s">
        <v>626</v>
      </c>
      <c r="S249" t="s">
        <v>527</v>
      </c>
      <c r="T249" t="s">
        <v>718</v>
      </c>
      <c r="U249" t="s">
        <v>528</v>
      </c>
      <c r="V249" t="s">
        <v>968</v>
      </c>
      <c r="W249" t="s">
        <v>967</v>
      </c>
      <c r="X249" t="s">
        <v>626</v>
      </c>
    </row>
    <row r="250" spans="2:24" x14ac:dyDescent="0.45">
      <c r="B250" t="s">
        <v>527</v>
      </c>
      <c r="C250" t="s">
        <v>656</v>
      </c>
      <c r="D250" t="s">
        <v>528</v>
      </c>
      <c r="E250" t="s">
        <v>968</v>
      </c>
      <c r="F250" t="s">
        <v>967</v>
      </c>
      <c r="G250" t="s">
        <v>626</v>
      </c>
      <c r="K250" t="s">
        <v>527</v>
      </c>
      <c r="L250" t="s">
        <v>687</v>
      </c>
      <c r="M250" t="s">
        <v>528</v>
      </c>
      <c r="N250" t="s">
        <v>968</v>
      </c>
      <c r="O250" t="s">
        <v>967</v>
      </c>
      <c r="P250" t="s">
        <v>626</v>
      </c>
      <c r="S250" t="s">
        <v>527</v>
      </c>
      <c r="T250" t="s">
        <v>719</v>
      </c>
      <c r="U250" t="s">
        <v>528</v>
      </c>
      <c r="V250" t="s">
        <v>968</v>
      </c>
      <c r="W250" t="s">
        <v>967</v>
      </c>
      <c r="X250" t="s">
        <v>626</v>
      </c>
    </row>
    <row r="251" spans="2:24" x14ac:dyDescent="0.45">
      <c r="B251" t="s">
        <v>527</v>
      </c>
      <c r="C251" t="s">
        <v>657</v>
      </c>
      <c r="D251" t="s">
        <v>528</v>
      </c>
      <c r="E251" t="s">
        <v>968</v>
      </c>
      <c r="F251" t="s">
        <v>967</v>
      </c>
      <c r="G251" t="s">
        <v>626</v>
      </c>
      <c r="K251" t="s">
        <v>527</v>
      </c>
      <c r="L251" t="s">
        <v>688</v>
      </c>
      <c r="M251" t="s">
        <v>528</v>
      </c>
      <c r="N251" t="s">
        <v>968</v>
      </c>
      <c r="O251" t="s">
        <v>967</v>
      </c>
      <c r="P251" t="s">
        <v>626</v>
      </c>
      <c r="S251" t="s">
        <v>527</v>
      </c>
      <c r="T251" t="s">
        <v>720</v>
      </c>
      <c r="U251" t="s">
        <v>528</v>
      </c>
      <c r="V251" t="s">
        <v>968</v>
      </c>
      <c r="W251" t="s">
        <v>967</v>
      </c>
      <c r="X251" t="s">
        <v>626</v>
      </c>
    </row>
    <row r="252" spans="2:24" x14ac:dyDescent="0.45">
      <c r="B252" t="s">
        <v>527</v>
      </c>
      <c r="C252" t="s">
        <v>658</v>
      </c>
      <c r="D252" t="s">
        <v>528</v>
      </c>
      <c r="E252" t="s">
        <v>968</v>
      </c>
      <c r="F252" t="s">
        <v>967</v>
      </c>
      <c r="G252" t="s">
        <v>626</v>
      </c>
      <c r="K252" t="s">
        <v>527</v>
      </c>
      <c r="L252" t="s">
        <v>689</v>
      </c>
      <c r="M252" t="s">
        <v>528</v>
      </c>
      <c r="N252" t="s">
        <v>968</v>
      </c>
      <c r="O252" t="s">
        <v>967</v>
      </c>
      <c r="P252" t="s">
        <v>626</v>
      </c>
      <c r="S252" t="s">
        <v>527</v>
      </c>
      <c r="T252" t="s">
        <v>721</v>
      </c>
      <c r="U252" t="s">
        <v>528</v>
      </c>
      <c r="V252" t="s">
        <v>968</v>
      </c>
      <c r="W252" t="s">
        <v>967</v>
      </c>
      <c r="X252" t="s">
        <v>626</v>
      </c>
    </row>
    <row r="253" spans="2:24" x14ac:dyDescent="0.45">
      <c r="B253" t="s">
        <v>527</v>
      </c>
      <c r="C253" t="s">
        <v>634</v>
      </c>
      <c r="D253" t="s">
        <v>528</v>
      </c>
      <c r="E253" t="s">
        <v>968</v>
      </c>
      <c r="F253" t="s">
        <v>967</v>
      </c>
      <c r="G253" t="s">
        <v>626</v>
      </c>
      <c r="K253" t="s">
        <v>527</v>
      </c>
      <c r="L253" t="s">
        <v>690</v>
      </c>
      <c r="M253" t="s">
        <v>528</v>
      </c>
      <c r="N253" t="s">
        <v>968</v>
      </c>
      <c r="O253" t="s">
        <v>967</v>
      </c>
      <c r="P253" t="s">
        <v>626</v>
      </c>
      <c r="S253" t="s">
        <v>527</v>
      </c>
      <c r="T253" t="s">
        <v>722</v>
      </c>
      <c r="U253" t="s">
        <v>528</v>
      </c>
      <c r="V253" t="s">
        <v>968</v>
      </c>
      <c r="W253" t="s">
        <v>967</v>
      </c>
      <c r="X253" t="s">
        <v>626</v>
      </c>
    </row>
    <row r="257" spans="2:4" s="80" customFormat="1" x14ac:dyDescent="0.45">
      <c r="B257" s="80" t="s">
        <v>1275</v>
      </c>
    </row>
    <row r="259" spans="2:4" x14ac:dyDescent="0.45">
      <c r="B259" t="s">
        <v>3</v>
      </c>
      <c r="C259" t="s">
        <v>6</v>
      </c>
      <c r="D259" t="s">
        <v>285</v>
      </c>
    </row>
    <row r="260" spans="2:4" x14ac:dyDescent="0.45">
      <c r="C260" t="s">
        <v>9</v>
      </c>
      <c r="D260" s="118" t="s">
        <v>1276</v>
      </c>
    </row>
    <row r="263" spans="2:4" x14ac:dyDescent="0.45">
      <c r="B263" t="s">
        <v>1277</v>
      </c>
    </row>
    <row r="264" spans="2:4" x14ac:dyDescent="0.45">
      <c r="B264">
        <f>60000</f>
        <v>60000</v>
      </c>
      <c r="C264" t="s">
        <v>1278</v>
      </c>
    </row>
    <row r="266" spans="2:4" x14ac:dyDescent="0.45">
      <c r="B266" t="s">
        <v>1279</v>
      </c>
    </row>
    <row r="267" spans="2:4" x14ac:dyDescent="0.45">
      <c r="B267" t="s">
        <v>283</v>
      </c>
      <c r="C267">
        <v>807</v>
      </c>
      <c r="D267" t="s">
        <v>1280</v>
      </c>
    </row>
    <row r="269" spans="2:4" x14ac:dyDescent="0.45">
      <c r="B269" t="s">
        <v>1289</v>
      </c>
    </row>
    <row r="270" spans="2:4" x14ac:dyDescent="0.45">
      <c r="B270" t="s">
        <v>283</v>
      </c>
      <c r="C270" s="2">
        <v>12.136111</v>
      </c>
      <c r="D270" t="s">
        <v>1084</v>
      </c>
    </row>
    <row r="272" spans="2:4" x14ac:dyDescent="0.45">
      <c r="B272" t="s">
        <v>1281</v>
      </c>
    </row>
    <row r="273" spans="2:17" x14ac:dyDescent="0.45">
      <c r="B273" t="s">
        <v>788</v>
      </c>
      <c r="C273" s="2">
        <f>690+1.4</f>
        <v>691.4</v>
      </c>
      <c r="D273" t="s">
        <v>1283</v>
      </c>
    </row>
    <row r="274" spans="2:17" x14ac:dyDescent="0.45">
      <c r="B274" t="s">
        <v>789</v>
      </c>
      <c r="C274">
        <v>4</v>
      </c>
      <c r="D274" t="s">
        <v>1287</v>
      </c>
    </row>
    <row r="275" spans="2:17" x14ac:dyDescent="0.45">
      <c r="B275" t="s">
        <v>1282</v>
      </c>
      <c r="C275">
        <v>1575</v>
      </c>
      <c r="D275" t="s">
        <v>1284</v>
      </c>
    </row>
    <row r="276" spans="2:17" x14ac:dyDescent="0.45">
      <c r="B276" t="s">
        <v>1285</v>
      </c>
      <c r="C276">
        <v>20</v>
      </c>
      <c r="D276" t="s">
        <v>1286</v>
      </c>
    </row>
    <row r="280" spans="2:17" x14ac:dyDescent="0.45">
      <c r="B280" t="s">
        <v>1124</v>
      </c>
      <c r="C280">
        <f>B264*C267/1000</f>
        <v>48420</v>
      </c>
      <c r="D280" t="s">
        <v>1288</v>
      </c>
      <c r="G280" t="s">
        <v>1295</v>
      </c>
      <c r="K280" t="s">
        <v>1301</v>
      </c>
    </row>
    <row r="281" spans="2:17" x14ac:dyDescent="0.45">
      <c r="C281" s="2">
        <f>C280*C270</f>
        <v>587630.49462000001</v>
      </c>
      <c r="D281" t="s">
        <v>1291</v>
      </c>
      <c r="G281" t="s">
        <v>1294</v>
      </c>
      <c r="K281">
        <f>C282*8736</f>
        <v>61113571.440480001</v>
      </c>
      <c r="L281" t="s">
        <v>1290</v>
      </c>
    </row>
    <row r="282" spans="2:17" x14ac:dyDescent="0.45">
      <c r="C282" s="2">
        <f>C281/G283</f>
        <v>6995.6011264285717</v>
      </c>
      <c r="D282" t="s">
        <v>1298</v>
      </c>
      <c r="G282">
        <v>3.5</v>
      </c>
      <c r="H282" t="s">
        <v>1296</v>
      </c>
      <c r="K282">
        <f>K281/1000000</f>
        <v>61.113571440480001</v>
      </c>
    </row>
    <row r="283" spans="2:17" x14ac:dyDescent="0.45">
      <c r="G283">
        <f>G282*24</f>
        <v>84</v>
      </c>
      <c r="H283" t="s">
        <v>1297</v>
      </c>
    </row>
    <row r="284" spans="2:17" x14ac:dyDescent="0.45">
      <c r="B284" t="s">
        <v>788</v>
      </c>
      <c r="C284" s="2">
        <f>C273/C270</f>
        <v>56.970474314218123</v>
      </c>
      <c r="D284" t="s">
        <v>1292</v>
      </c>
    </row>
    <row r="285" spans="2:17" x14ac:dyDescent="0.45">
      <c r="B285" t="s">
        <v>789</v>
      </c>
      <c r="C285" s="3">
        <f>C274/C270</f>
        <v>0.32959487598622</v>
      </c>
      <c r="D285" t="s">
        <v>1293</v>
      </c>
    </row>
    <row r="287" spans="2:17" x14ac:dyDescent="0.45">
      <c r="O287">
        <v>0.52500000000000002</v>
      </c>
      <c r="P287">
        <f>O287/2</f>
        <v>0.26250000000000001</v>
      </c>
      <c r="Q287">
        <f>O287*2</f>
        <v>1.05</v>
      </c>
    </row>
    <row r="288" spans="2:17" x14ac:dyDescent="0.45">
      <c r="C288" t="s">
        <v>1299</v>
      </c>
      <c r="D288" t="s">
        <v>1300</v>
      </c>
      <c r="E288" t="s">
        <v>1282</v>
      </c>
      <c r="J288" t="s">
        <v>23</v>
      </c>
      <c r="O288">
        <v>1.0649999999999999</v>
      </c>
      <c r="P288">
        <f t="shared" ref="P288:P334" si="12">O288/2</f>
        <v>0.53249999999999997</v>
      </c>
      <c r="Q288">
        <f t="shared" ref="Q288:Q334" si="13">O288*2</f>
        <v>2.13</v>
      </c>
    </row>
    <row r="289" spans="2:17" x14ac:dyDescent="0.45">
      <c r="B289" s="146">
        <v>0</v>
      </c>
      <c r="C289">
        <f>C281*C284</f>
        <v>33477588</v>
      </c>
      <c r="J289">
        <v>7.3581750328628834E-2</v>
      </c>
      <c r="O289">
        <v>1.81</v>
      </c>
      <c r="P289">
        <f t="shared" si="12"/>
        <v>0.90500000000000003</v>
      </c>
      <c r="Q289">
        <f t="shared" si="13"/>
        <v>3.62</v>
      </c>
    </row>
    <row r="290" spans="2:17" x14ac:dyDescent="0.45">
      <c r="B290" s="146">
        <v>1</v>
      </c>
      <c r="C290">
        <f>$C$281*$C$285</f>
        <v>193680.00000000003</v>
      </c>
      <c r="D290">
        <f>$K$281</f>
        <v>61113571.440480001</v>
      </c>
      <c r="O290">
        <v>0.65500000000000003</v>
      </c>
      <c r="P290">
        <f t="shared" si="12"/>
        <v>0.32750000000000001</v>
      </c>
      <c r="Q290">
        <f t="shared" si="13"/>
        <v>1.31</v>
      </c>
    </row>
    <row r="291" spans="2:17" x14ac:dyDescent="0.45">
      <c r="B291" s="146">
        <v>2</v>
      </c>
      <c r="C291">
        <f t="shared" ref="C291:C309" si="14">$C$281*$C$285</f>
        <v>193680.00000000003</v>
      </c>
      <c r="D291">
        <f t="shared" ref="D291:D309" si="15">$K$281</f>
        <v>61113571.440480001</v>
      </c>
      <c r="O291">
        <v>0.76</v>
      </c>
      <c r="P291">
        <f t="shared" si="12"/>
        <v>0.38</v>
      </c>
      <c r="Q291">
        <f t="shared" si="13"/>
        <v>1.52</v>
      </c>
    </row>
    <row r="292" spans="2:17" x14ac:dyDescent="0.45">
      <c r="B292" s="146">
        <v>3</v>
      </c>
      <c r="C292">
        <f t="shared" si="14"/>
        <v>193680.00000000003</v>
      </c>
      <c r="D292">
        <f t="shared" si="15"/>
        <v>61113571.440480001</v>
      </c>
      <c r="O292">
        <v>0.64</v>
      </c>
      <c r="P292">
        <f t="shared" si="12"/>
        <v>0.32</v>
      </c>
      <c r="Q292">
        <f t="shared" si="13"/>
        <v>1.28</v>
      </c>
    </row>
    <row r="293" spans="2:17" x14ac:dyDescent="0.45">
      <c r="B293" s="146">
        <v>4</v>
      </c>
      <c r="C293">
        <f t="shared" si="14"/>
        <v>193680.00000000003</v>
      </c>
      <c r="D293">
        <f t="shared" si="15"/>
        <v>61113571.440480001</v>
      </c>
      <c r="O293">
        <v>0.68</v>
      </c>
      <c r="P293">
        <f t="shared" si="12"/>
        <v>0.34</v>
      </c>
      <c r="Q293">
        <f t="shared" si="13"/>
        <v>1.36</v>
      </c>
    </row>
    <row r="294" spans="2:17" x14ac:dyDescent="0.45">
      <c r="B294" s="146">
        <v>5</v>
      </c>
      <c r="C294">
        <f t="shared" si="14"/>
        <v>193680.00000000003</v>
      </c>
      <c r="D294">
        <f t="shared" si="15"/>
        <v>61113571.440480001</v>
      </c>
      <c r="O294">
        <v>0.66</v>
      </c>
      <c r="P294">
        <f t="shared" si="12"/>
        <v>0.33</v>
      </c>
      <c r="Q294">
        <f t="shared" si="13"/>
        <v>1.32</v>
      </c>
    </row>
    <row r="295" spans="2:17" x14ac:dyDescent="0.45">
      <c r="B295" s="146">
        <v>6</v>
      </c>
      <c r="C295">
        <f t="shared" si="14"/>
        <v>193680.00000000003</v>
      </c>
      <c r="D295">
        <f t="shared" si="15"/>
        <v>61113571.440480001</v>
      </c>
      <c r="O295">
        <v>2.2999999999999998</v>
      </c>
      <c r="P295">
        <f t="shared" si="12"/>
        <v>1.1499999999999999</v>
      </c>
      <c r="Q295">
        <f t="shared" si="13"/>
        <v>4.5999999999999996</v>
      </c>
    </row>
    <row r="296" spans="2:17" x14ac:dyDescent="0.45">
      <c r="B296" s="146">
        <v>7</v>
      </c>
      <c r="C296">
        <f t="shared" si="14"/>
        <v>193680.00000000003</v>
      </c>
      <c r="D296">
        <f t="shared" si="15"/>
        <v>61113571.440480001</v>
      </c>
      <c r="O296">
        <v>0.86</v>
      </c>
      <c r="P296">
        <f t="shared" si="12"/>
        <v>0.43</v>
      </c>
      <c r="Q296">
        <f t="shared" si="13"/>
        <v>1.72</v>
      </c>
    </row>
    <row r="297" spans="2:17" x14ac:dyDescent="0.45">
      <c r="B297" s="146">
        <v>8</v>
      </c>
      <c r="C297">
        <f t="shared" si="14"/>
        <v>193680.00000000003</v>
      </c>
      <c r="D297">
        <f t="shared" si="15"/>
        <v>61113571.440480001</v>
      </c>
      <c r="O297">
        <v>0.68500000000000005</v>
      </c>
      <c r="P297">
        <f t="shared" si="12"/>
        <v>0.34250000000000003</v>
      </c>
      <c r="Q297">
        <f t="shared" si="13"/>
        <v>1.37</v>
      </c>
    </row>
    <row r="298" spans="2:17" x14ac:dyDescent="0.45">
      <c r="B298" s="146">
        <v>9</v>
      </c>
      <c r="C298">
        <f t="shared" si="14"/>
        <v>193680.00000000003</v>
      </c>
      <c r="D298">
        <f t="shared" si="15"/>
        <v>61113571.440480001</v>
      </c>
      <c r="O298">
        <v>0.86499999999999999</v>
      </c>
      <c r="P298">
        <f t="shared" si="12"/>
        <v>0.4325</v>
      </c>
      <c r="Q298">
        <f t="shared" si="13"/>
        <v>1.73</v>
      </c>
    </row>
    <row r="299" spans="2:17" x14ac:dyDescent="0.45">
      <c r="B299" s="146">
        <v>10</v>
      </c>
      <c r="C299">
        <f t="shared" si="14"/>
        <v>193680.00000000003</v>
      </c>
      <c r="D299">
        <f t="shared" si="15"/>
        <v>61113571.440480001</v>
      </c>
      <c r="O299">
        <v>1.19</v>
      </c>
      <c r="P299">
        <f t="shared" si="12"/>
        <v>0.59499999999999997</v>
      </c>
      <c r="Q299">
        <f t="shared" si="13"/>
        <v>2.38</v>
      </c>
    </row>
    <row r="300" spans="2:17" x14ac:dyDescent="0.45">
      <c r="B300" s="146">
        <v>11</v>
      </c>
      <c r="C300">
        <f t="shared" si="14"/>
        <v>193680.00000000003</v>
      </c>
      <c r="D300">
        <f t="shared" si="15"/>
        <v>61113571.440480001</v>
      </c>
      <c r="O300">
        <v>0.87</v>
      </c>
      <c r="P300">
        <f t="shared" si="12"/>
        <v>0.435</v>
      </c>
      <c r="Q300">
        <f t="shared" si="13"/>
        <v>1.74</v>
      </c>
    </row>
    <row r="301" spans="2:17" x14ac:dyDescent="0.45">
      <c r="B301" s="146">
        <v>12</v>
      </c>
      <c r="C301">
        <f t="shared" si="14"/>
        <v>193680.00000000003</v>
      </c>
      <c r="D301">
        <f t="shared" si="15"/>
        <v>61113571.440480001</v>
      </c>
      <c r="O301">
        <v>1.36</v>
      </c>
      <c r="P301">
        <f t="shared" si="12"/>
        <v>0.68</v>
      </c>
      <c r="Q301">
        <f t="shared" si="13"/>
        <v>2.72</v>
      </c>
    </row>
    <row r="302" spans="2:17" x14ac:dyDescent="0.45">
      <c r="B302" s="146">
        <v>13</v>
      </c>
      <c r="C302">
        <f t="shared" si="14"/>
        <v>193680.00000000003</v>
      </c>
      <c r="D302">
        <f t="shared" si="15"/>
        <v>61113571.440480001</v>
      </c>
      <c r="O302">
        <v>0.88</v>
      </c>
      <c r="P302">
        <f t="shared" si="12"/>
        <v>0.44</v>
      </c>
      <c r="Q302">
        <f t="shared" si="13"/>
        <v>1.76</v>
      </c>
    </row>
    <row r="303" spans="2:17" x14ac:dyDescent="0.45">
      <c r="B303" s="146">
        <v>14</v>
      </c>
      <c r="C303">
        <f t="shared" si="14"/>
        <v>193680.00000000003</v>
      </c>
      <c r="D303">
        <f t="shared" si="15"/>
        <v>61113571.440480001</v>
      </c>
      <c r="O303">
        <v>0.64500000000000002</v>
      </c>
      <c r="P303">
        <f t="shared" si="12"/>
        <v>0.32250000000000001</v>
      </c>
      <c r="Q303">
        <f t="shared" si="13"/>
        <v>1.29</v>
      </c>
    </row>
    <row r="304" spans="2:17" x14ac:dyDescent="0.45">
      <c r="B304" s="146">
        <v>15</v>
      </c>
      <c r="C304">
        <f t="shared" si="14"/>
        <v>193680.00000000003</v>
      </c>
      <c r="D304">
        <f t="shared" si="15"/>
        <v>61113571.440480001</v>
      </c>
      <c r="O304">
        <v>1.31</v>
      </c>
      <c r="P304">
        <f t="shared" si="12"/>
        <v>0.65500000000000003</v>
      </c>
      <c r="Q304">
        <f t="shared" si="13"/>
        <v>2.62</v>
      </c>
    </row>
    <row r="305" spans="2:17" x14ac:dyDescent="0.45">
      <c r="B305" s="146">
        <v>16</v>
      </c>
      <c r="C305">
        <f t="shared" si="14"/>
        <v>193680.00000000003</v>
      </c>
      <c r="D305">
        <f t="shared" si="15"/>
        <v>61113571.440480001</v>
      </c>
      <c r="O305">
        <v>2.2200000000000002</v>
      </c>
      <c r="P305">
        <f t="shared" si="12"/>
        <v>1.1100000000000001</v>
      </c>
      <c r="Q305">
        <f t="shared" si="13"/>
        <v>4.4400000000000004</v>
      </c>
    </row>
    <row r="306" spans="2:17" x14ac:dyDescent="0.45">
      <c r="B306" s="146">
        <v>17</v>
      </c>
      <c r="C306">
        <f t="shared" si="14"/>
        <v>193680.00000000003</v>
      </c>
      <c r="D306">
        <f t="shared" si="15"/>
        <v>61113571.440480001</v>
      </c>
      <c r="O306">
        <v>0.8</v>
      </c>
      <c r="P306">
        <f t="shared" si="12"/>
        <v>0.4</v>
      </c>
      <c r="Q306">
        <f t="shared" si="13"/>
        <v>1.6</v>
      </c>
    </row>
    <row r="307" spans="2:17" x14ac:dyDescent="0.45">
      <c r="B307" s="146">
        <v>18</v>
      </c>
      <c r="C307">
        <f t="shared" si="14"/>
        <v>193680.00000000003</v>
      </c>
      <c r="D307">
        <f t="shared" si="15"/>
        <v>61113571.440480001</v>
      </c>
      <c r="O307">
        <v>0.93500000000000005</v>
      </c>
      <c r="P307">
        <f t="shared" si="12"/>
        <v>0.46750000000000003</v>
      </c>
      <c r="Q307">
        <f t="shared" si="13"/>
        <v>1.87</v>
      </c>
    </row>
    <row r="308" spans="2:17" x14ac:dyDescent="0.45">
      <c r="B308" s="146">
        <v>19</v>
      </c>
      <c r="C308">
        <f t="shared" si="14"/>
        <v>193680.00000000003</v>
      </c>
      <c r="D308">
        <f t="shared" si="15"/>
        <v>61113571.440480001</v>
      </c>
      <c r="O308">
        <v>0.78500000000000003</v>
      </c>
      <c r="P308">
        <f t="shared" si="12"/>
        <v>0.39250000000000002</v>
      </c>
      <c r="Q308">
        <f t="shared" si="13"/>
        <v>1.57</v>
      </c>
    </row>
    <row r="309" spans="2:17" x14ac:dyDescent="0.45">
      <c r="B309" s="146">
        <v>20</v>
      </c>
      <c r="C309">
        <f t="shared" si="14"/>
        <v>193680.00000000003</v>
      </c>
      <c r="D309">
        <f t="shared" si="15"/>
        <v>61113571.440480001</v>
      </c>
      <c r="O309">
        <v>0.84</v>
      </c>
      <c r="P309">
        <f t="shared" si="12"/>
        <v>0.42</v>
      </c>
      <c r="Q309">
        <f t="shared" si="13"/>
        <v>1.68</v>
      </c>
    </row>
    <row r="310" spans="2:17" x14ac:dyDescent="0.45">
      <c r="O310">
        <v>0.81</v>
      </c>
      <c r="P310">
        <f t="shared" si="12"/>
        <v>0.40500000000000003</v>
      </c>
      <c r="Q310">
        <f t="shared" si="13"/>
        <v>1.62</v>
      </c>
    </row>
    <row r="311" spans="2:17" x14ac:dyDescent="0.45">
      <c r="O311">
        <v>2.8250000000000002</v>
      </c>
      <c r="P311">
        <f t="shared" si="12"/>
        <v>1.4125000000000001</v>
      </c>
      <c r="Q311">
        <f t="shared" si="13"/>
        <v>5.65</v>
      </c>
    </row>
    <row r="312" spans="2:17" x14ac:dyDescent="0.45">
      <c r="O312">
        <v>1.05</v>
      </c>
      <c r="P312">
        <f t="shared" si="12"/>
        <v>0.52500000000000002</v>
      </c>
      <c r="Q312">
        <f t="shared" si="13"/>
        <v>2.1</v>
      </c>
    </row>
    <row r="313" spans="2:17" x14ac:dyDescent="0.45">
      <c r="O313">
        <v>0.84</v>
      </c>
      <c r="P313">
        <f t="shared" si="12"/>
        <v>0.42</v>
      </c>
      <c r="Q313">
        <f t="shared" si="13"/>
        <v>1.68</v>
      </c>
    </row>
    <row r="314" spans="2:17" x14ac:dyDescent="0.45">
      <c r="O314">
        <v>1.06</v>
      </c>
      <c r="P314">
        <f t="shared" si="12"/>
        <v>0.53</v>
      </c>
      <c r="Q314">
        <f t="shared" si="13"/>
        <v>2.12</v>
      </c>
    </row>
    <row r="315" spans="2:17" x14ac:dyDescent="0.45">
      <c r="O315">
        <v>1.4650000000000001</v>
      </c>
      <c r="P315">
        <f t="shared" si="12"/>
        <v>0.73250000000000004</v>
      </c>
      <c r="Q315">
        <f t="shared" si="13"/>
        <v>2.93</v>
      </c>
    </row>
    <row r="316" spans="2:17" x14ac:dyDescent="0.45">
      <c r="O316">
        <v>1.0649999999999999</v>
      </c>
      <c r="P316">
        <f t="shared" si="12"/>
        <v>0.53249999999999997</v>
      </c>
      <c r="Q316">
        <f t="shared" si="13"/>
        <v>2.13</v>
      </c>
    </row>
    <row r="317" spans="2:17" x14ac:dyDescent="0.45">
      <c r="O317">
        <v>1.67</v>
      </c>
      <c r="P317">
        <f t="shared" si="12"/>
        <v>0.83499999999999996</v>
      </c>
      <c r="Q317">
        <f t="shared" si="13"/>
        <v>3.34</v>
      </c>
    </row>
    <row r="318" spans="2:17" x14ac:dyDescent="0.45">
      <c r="O318">
        <v>1.08</v>
      </c>
      <c r="P318">
        <f t="shared" si="12"/>
        <v>0.54</v>
      </c>
      <c r="Q318">
        <f t="shared" si="13"/>
        <v>2.16</v>
      </c>
    </row>
    <row r="319" spans="2:17" x14ac:dyDescent="0.45">
      <c r="O319">
        <v>1.1599999999999999</v>
      </c>
      <c r="P319">
        <f t="shared" si="12"/>
        <v>0.57999999999999996</v>
      </c>
      <c r="Q319">
        <f t="shared" si="13"/>
        <v>2.3199999999999998</v>
      </c>
    </row>
    <row r="320" spans="2:17" x14ac:dyDescent="0.45">
      <c r="O320">
        <v>2.355</v>
      </c>
      <c r="P320">
        <f t="shared" si="12"/>
        <v>1.1775</v>
      </c>
      <c r="Q320">
        <f t="shared" si="13"/>
        <v>4.71</v>
      </c>
    </row>
    <row r="321" spans="15:17" x14ac:dyDescent="0.45">
      <c r="O321">
        <v>3.99</v>
      </c>
      <c r="P321">
        <f t="shared" si="12"/>
        <v>1.9950000000000001</v>
      </c>
      <c r="Q321">
        <f t="shared" si="13"/>
        <v>7.98</v>
      </c>
    </row>
    <row r="322" spans="15:17" x14ac:dyDescent="0.45">
      <c r="O322">
        <v>1.44</v>
      </c>
      <c r="P322">
        <f t="shared" si="12"/>
        <v>0.72</v>
      </c>
      <c r="Q322">
        <f t="shared" si="13"/>
        <v>2.88</v>
      </c>
    </row>
    <row r="323" spans="15:17" x14ac:dyDescent="0.45">
      <c r="O323">
        <v>1.675</v>
      </c>
      <c r="P323">
        <f t="shared" si="12"/>
        <v>0.83750000000000002</v>
      </c>
      <c r="Q323">
        <f t="shared" si="13"/>
        <v>3.35</v>
      </c>
    </row>
    <row r="324" spans="15:17" x14ac:dyDescent="0.45">
      <c r="O324">
        <v>1.41</v>
      </c>
      <c r="P324">
        <f t="shared" si="12"/>
        <v>0.70499999999999996</v>
      </c>
      <c r="Q324">
        <f t="shared" si="13"/>
        <v>2.82</v>
      </c>
    </row>
    <row r="325" spans="15:17" x14ac:dyDescent="0.45">
      <c r="O325">
        <v>1.51</v>
      </c>
      <c r="P325">
        <f t="shared" si="12"/>
        <v>0.755</v>
      </c>
      <c r="Q325">
        <f t="shared" si="13"/>
        <v>3.02</v>
      </c>
    </row>
    <row r="326" spans="15:17" x14ac:dyDescent="0.45">
      <c r="O326">
        <v>1.46</v>
      </c>
      <c r="P326">
        <f t="shared" si="12"/>
        <v>0.73</v>
      </c>
      <c r="Q326">
        <f t="shared" si="13"/>
        <v>2.92</v>
      </c>
    </row>
    <row r="327" spans="15:17" x14ac:dyDescent="0.45">
      <c r="O327">
        <v>5.08</v>
      </c>
      <c r="P327">
        <f t="shared" si="12"/>
        <v>2.54</v>
      </c>
      <c r="Q327">
        <f t="shared" si="13"/>
        <v>10.16</v>
      </c>
    </row>
    <row r="328" spans="15:17" x14ac:dyDescent="0.45">
      <c r="O328">
        <v>1.89</v>
      </c>
      <c r="P328">
        <f t="shared" si="12"/>
        <v>0.94499999999999995</v>
      </c>
      <c r="Q328">
        <f t="shared" si="13"/>
        <v>3.78</v>
      </c>
    </row>
    <row r="329" spans="15:17" x14ac:dyDescent="0.45">
      <c r="O329">
        <v>1.51</v>
      </c>
      <c r="P329">
        <f t="shared" si="12"/>
        <v>0.755</v>
      </c>
      <c r="Q329">
        <f t="shared" si="13"/>
        <v>3.02</v>
      </c>
    </row>
    <row r="330" spans="15:17" x14ac:dyDescent="0.45">
      <c r="O330">
        <v>1.91</v>
      </c>
      <c r="P330">
        <f t="shared" si="12"/>
        <v>0.95499999999999996</v>
      </c>
      <c r="Q330">
        <f t="shared" si="13"/>
        <v>3.82</v>
      </c>
    </row>
    <row r="331" spans="15:17" x14ac:dyDescent="0.45">
      <c r="O331">
        <v>2.6349999999999998</v>
      </c>
      <c r="P331">
        <f t="shared" si="12"/>
        <v>1.3174999999999999</v>
      </c>
      <c r="Q331">
        <f t="shared" si="13"/>
        <v>5.27</v>
      </c>
    </row>
    <row r="332" spans="15:17" x14ac:dyDescent="0.45">
      <c r="O332">
        <v>1.915</v>
      </c>
      <c r="P332">
        <f t="shared" si="12"/>
        <v>0.95750000000000002</v>
      </c>
      <c r="Q332">
        <f t="shared" si="13"/>
        <v>3.83</v>
      </c>
    </row>
    <row r="333" spans="15:17" x14ac:dyDescent="0.45">
      <c r="O333">
        <v>3</v>
      </c>
      <c r="P333">
        <f t="shared" si="12"/>
        <v>1.5</v>
      </c>
      <c r="Q333">
        <f t="shared" si="13"/>
        <v>6</v>
      </c>
    </row>
    <row r="334" spans="15:17" x14ac:dyDescent="0.45">
      <c r="O334">
        <v>1.9450000000000001</v>
      </c>
      <c r="P334">
        <f t="shared" si="12"/>
        <v>0.97250000000000003</v>
      </c>
      <c r="Q334">
        <f t="shared" si="13"/>
        <v>3.89</v>
      </c>
    </row>
  </sheetData>
  <hyperlinks>
    <hyperlink ref="B33" r:id="rId1" xr:uid="{00000000-0004-0000-0700-000000000000}"/>
  </hyperlinks>
  <pageMargins left="0.7" right="0.7" top="0.75" bottom="0.75" header="0.3" footer="0.3"/>
  <pageSetup paperSize="9" orientation="portrait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M27"/>
  <sheetViews>
    <sheetView workbookViewId="0">
      <selection sqref="A1:B1"/>
    </sheetView>
  </sheetViews>
  <sheetFormatPr defaultRowHeight="14.25" x14ac:dyDescent="0.45"/>
  <sheetData>
    <row r="1" spans="1:13" x14ac:dyDescent="0.45">
      <c r="A1" t="s">
        <v>724</v>
      </c>
      <c r="B1" t="s">
        <v>725</v>
      </c>
    </row>
    <row r="5" spans="1:13" x14ac:dyDescent="0.45">
      <c r="B5" t="s">
        <v>479</v>
      </c>
      <c r="C5" t="s">
        <v>726</v>
      </c>
      <c r="D5" t="s">
        <v>727</v>
      </c>
      <c r="E5" t="s">
        <v>728</v>
      </c>
      <c r="F5" t="s">
        <v>729</v>
      </c>
      <c r="G5" t="s">
        <v>730</v>
      </c>
      <c r="H5" t="s">
        <v>731</v>
      </c>
      <c r="I5" t="s">
        <v>732</v>
      </c>
      <c r="J5" t="s">
        <v>733</v>
      </c>
      <c r="K5" t="s">
        <v>734</v>
      </c>
    </row>
    <row r="6" spans="1:13" x14ac:dyDescent="0.45">
      <c r="C6" t="s">
        <v>735</v>
      </c>
      <c r="D6" t="s">
        <v>736</v>
      </c>
      <c r="E6" t="s">
        <v>736</v>
      </c>
      <c r="F6" t="s">
        <v>737</v>
      </c>
      <c r="G6" t="s">
        <v>737</v>
      </c>
      <c r="H6" t="s">
        <v>737</v>
      </c>
      <c r="I6" t="s">
        <v>737</v>
      </c>
      <c r="J6" t="s">
        <v>737</v>
      </c>
      <c r="K6" t="s">
        <v>737</v>
      </c>
      <c r="M6" t="s">
        <v>758</v>
      </c>
    </row>
    <row r="7" spans="1:13" x14ac:dyDescent="0.45">
      <c r="B7" t="s">
        <v>739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J7">
        <v>0</v>
      </c>
      <c r="K7">
        <v>0</v>
      </c>
    </row>
    <row r="8" spans="1:13" x14ac:dyDescent="0.45">
      <c r="B8" t="s">
        <v>740</v>
      </c>
      <c r="C8">
        <v>49.946304932833165</v>
      </c>
      <c r="D8">
        <v>0</v>
      </c>
      <c r="E8">
        <v>1.7392204987123139E-3</v>
      </c>
      <c r="F8">
        <v>0.12870231690471123</v>
      </c>
      <c r="G8">
        <v>9.0439465933040339E-6</v>
      </c>
      <c r="H8">
        <v>5.3915835460081734E-6</v>
      </c>
      <c r="I8">
        <v>8.6961024935615694E-7</v>
      </c>
      <c r="J8">
        <v>1.161973215189697E-3</v>
      </c>
      <c r="K8">
        <v>2.1609665106877572E-5</v>
      </c>
      <c r="M8" t="s">
        <v>759</v>
      </c>
    </row>
    <row r="9" spans="1:13" x14ac:dyDescent="0.45">
      <c r="B9" t="s">
        <v>741</v>
      </c>
      <c r="C9">
        <v>49.946304932833165</v>
      </c>
      <c r="D9">
        <v>0</v>
      </c>
      <c r="E9">
        <v>1.7392204987123139E-3</v>
      </c>
      <c r="F9">
        <v>0.12870231690471123</v>
      </c>
      <c r="G9">
        <v>9.0439465933040339E-6</v>
      </c>
      <c r="H9">
        <v>5.3915835460081734E-6</v>
      </c>
      <c r="I9">
        <v>8.6961024935615694E-7</v>
      </c>
      <c r="J9">
        <v>1.161973215189697E-3</v>
      </c>
      <c r="K9">
        <v>2.1609665106877572E-5</v>
      </c>
    </row>
    <row r="10" spans="1:13" x14ac:dyDescent="0.45">
      <c r="B10" t="s">
        <v>742</v>
      </c>
      <c r="C10">
        <v>53.784616219468148</v>
      </c>
      <c r="D10">
        <v>0</v>
      </c>
      <c r="E10">
        <v>1.8728774264696667E-3</v>
      </c>
      <c r="F10">
        <v>0.13859292955875535</v>
      </c>
      <c r="G10">
        <v>9.7389626176422683E-6</v>
      </c>
      <c r="H10">
        <v>5.8059200220559666E-6</v>
      </c>
      <c r="I10">
        <v>9.364387132348333E-7</v>
      </c>
      <c r="J10">
        <v>1.2512694086243843E-3</v>
      </c>
      <c r="K10">
        <v>2.3270340938486592E-5</v>
      </c>
    </row>
    <row r="11" spans="1:13" x14ac:dyDescent="0.45">
      <c r="B11" t="s">
        <v>743</v>
      </c>
      <c r="C11">
        <v>37.91722785109021</v>
      </c>
      <c r="D11">
        <v>0</v>
      </c>
      <c r="E11">
        <v>1.3203463203463207E-3</v>
      </c>
      <c r="F11">
        <v>9.770562770562774E-2</v>
      </c>
      <c r="G11">
        <v>6.8658008658008676E-6</v>
      </c>
      <c r="H11">
        <v>4.0930735930735945E-6</v>
      </c>
      <c r="I11">
        <v>6.6017316017316031E-7</v>
      </c>
      <c r="J11">
        <v>8.8212337662337697E-4</v>
      </c>
      <c r="K11">
        <v>1.6405189467871852E-5</v>
      </c>
    </row>
    <row r="12" spans="1:13" x14ac:dyDescent="0.45">
      <c r="B12" s="12" t="s">
        <v>744</v>
      </c>
      <c r="C12" s="12">
        <v>37.91722785109021</v>
      </c>
      <c r="D12">
        <v>0</v>
      </c>
      <c r="E12">
        <v>1.3203463203463207E-3</v>
      </c>
      <c r="F12">
        <v>9.770562770562774E-2</v>
      </c>
      <c r="G12">
        <v>6.8658008658008676E-6</v>
      </c>
      <c r="H12">
        <v>4.0930735930735945E-6</v>
      </c>
      <c r="I12">
        <v>6.6017316017316031E-7</v>
      </c>
      <c r="J12">
        <v>8.8212337662337697E-4</v>
      </c>
      <c r="K12">
        <v>1.6405189467871852E-5</v>
      </c>
    </row>
    <row r="13" spans="1:13" x14ac:dyDescent="0.45">
      <c r="B13" t="s">
        <v>745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3" x14ac:dyDescent="0.45">
      <c r="B14" s="12" t="s">
        <v>746</v>
      </c>
      <c r="C14" s="12">
        <v>72.524894678772597</v>
      </c>
      <c r="D14">
        <v>0</v>
      </c>
      <c r="E14">
        <v>2.5254477515784051E-3</v>
      </c>
      <c r="F14">
        <v>0.18688313361680198</v>
      </c>
      <c r="G14">
        <v>1.3132328308207706E-5</v>
      </c>
      <c r="H14">
        <v>7.8288880298930559E-6</v>
      </c>
      <c r="I14">
        <v>1.2627238757892025E-6</v>
      </c>
      <c r="J14">
        <v>1.6872516428295325E-3</v>
      </c>
      <c r="K14">
        <v>3.1378471100663718E-5</v>
      </c>
    </row>
    <row r="15" spans="1:13" x14ac:dyDescent="0.45">
      <c r="B15" t="s">
        <v>747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</row>
    <row r="16" spans="1:13" x14ac:dyDescent="0.45">
      <c r="B16" t="s">
        <v>748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</row>
    <row r="17" spans="2:11" x14ac:dyDescent="0.45">
      <c r="B17" t="s">
        <v>749</v>
      </c>
      <c r="C17">
        <v>60.147866589095372</v>
      </c>
      <c r="D17">
        <v>0</v>
      </c>
      <c r="E17">
        <v>2.0944572910097403E-3</v>
      </c>
      <c r="F17">
        <v>0.15498983953472079</v>
      </c>
      <c r="G17">
        <v>1.0891177913250651E-5</v>
      </c>
      <c r="H17">
        <v>6.4928176021301949E-6</v>
      </c>
      <c r="I17">
        <v>1.0472286455048701E-6</v>
      </c>
      <c r="J17">
        <v>1.3993069161236076E-3</v>
      </c>
      <c r="K17">
        <v>2.6023451697406137E-5</v>
      </c>
    </row>
    <row r="18" spans="2:11" x14ac:dyDescent="0.45">
      <c r="B18" s="12" t="s">
        <v>277</v>
      </c>
      <c r="C18" s="12">
        <v>28.744829461119863</v>
      </c>
      <c r="D18">
        <v>0</v>
      </c>
      <c r="E18">
        <v>1.1111111111111111E-3</v>
      </c>
      <c r="F18">
        <v>8.2222222222222224E-2</v>
      </c>
      <c r="G18">
        <v>5.777777777777778E-6</v>
      </c>
      <c r="H18">
        <v>3.4444444444444444E-6</v>
      </c>
      <c r="I18">
        <v>5.5555555555555552E-7</v>
      </c>
      <c r="J18">
        <v>7.4233333333333345E-4</v>
      </c>
      <c r="K18">
        <v>1.3805459989356637E-5</v>
      </c>
    </row>
    <row r="19" spans="2:11" x14ac:dyDescent="0.45">
      <c r="B19" s="12" t="s">
        <v>750</v>
      </c>
      <c r="C19" s="12">
        <v>34.839987989567945</v>
      </c>
      <c r="D19">
        <v>0</v>
      </c>
      <c r="E19">
        <v>1.2131912734652465E-3</v>
      </c>
      <c r="F19">
        <v>8.9776154236428235E-2</v>
      </c>
      <c r="G19">
        <v>6.3085946220192821E-6</v>
      </c>
      <c r="H19">
        <v>3.7608929477422641E-6</v>
      </c>
      <c r="I19">
        <v>6.0659563673262324E-7</v>
      </c>
      <c r="J19">
        <v>8.1053308980213123E-4</v>
      </c>
      <c r="K19">
        <v>1.507379722673498E-5</v>
      </c>
    </row>
    <row r="20" spans="2:11" x14ac:dyDescent="0.45">
      <c r="B20" t="s">
        <v>751</v>
      </c>
      <c r="C20">
        <v>2.16629972690302</v>
      </c>
      <c r="D20">
        <v>0</v>
      </c>
      <c r="E20">
        <v>1.0004100041000412E-3</v>
      </c>
      <c r="F20">
        <v>7.4030340303403053E-2</v>
      </c>
      <c r="G20">
        <v>5.2021320213202146E-6</v>
      </c>
      <c r="H20">
        <v>3.101271012710128E-6</v>
      </c>
      <c r="I20">
        <v>5.0020500205002061E-7</v>
      </c>
      <c r="J20">
        <v>6.6837392373923755E-4</v>
      </c>
      <c r="K20">
        <v>1.2430008256099707E-5</v>
      </c>
    </row>
    <row r="21" spans="2:11" x14ac:dyDescent="0.45">
      <c r="B21" s="12" t="s">
        <v>752</v>
      </c>
      <c r="C21" s="12">
        <v>2.16629972690302</v>
      </c>
      <c r="D21">
        <v>0</v>
      </c>
      <c r="E21">
        <v>1.1531302142106228E-3</v>
      </c>
      <c r="F21">
        <v>8.5331635851586082E-2</v>
      </c>
      <c r="G21">
        <v>5.9962771138952393E-6</v>
      </c>
      <c r="H21">
        <v>3.5747036640529311E-6</v>
      </c>
      <c r="I21">
        <v>5.7656510710531136E-7</v>
      </c>
      <c r="J21">
        <v>7.7040629611411712E-4</v>
      </c>
      <c r="K21">
        <v>1.4327543731322703E-5</v>
      </c>
    </row>
    <row r="22" spans="2:11" x14ac:dyDescent="0.45">
      <c r="B22" t="s">
        <v>753</v>
      </c>
      <c r="C22">
        <v>0</v>
      </c>
      <c r="D22">
        <v>7.0000000000000007E-2</v>
      </c>
      <c r="E22">
        <v>0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</row>
    <row r="23" spans="2:11" x14ac:dyDescent="0.45">
      <c r="B23" t="s">
        <v>754</v>
      </c>
      <c r="C23">
        <v>0</v>
      </c>
      <c r="D23">
        <v>7.0000000000000007E-2</v>
      </c>
      <c r="E23">
        <v>0</v>
      </c>
      <c r="F23">
        <v>0</v>
      </c>
      <c r="G23">
        <v>0</v>
      </c>
      <c r="H23">
        <v>0</v>
      </c>
      <c r="I23">
        <v>0</v>
      </c>
      <c r="J23">
        <v>0</v>
      </c>
      <c r="K23">
        <v>0</v>
      </c>
    </row>
    <row r="24" spans="2:11" x14ac:dyDescent="0.45">
      <c r="B24" t="s">
        <v>755</v>
      </c>
      <c r="C24">
        <v>30.152539593153904</v>
      </c>
      <c r="D24">
        <v>0</v>
      </c>
      <c r="E24">
        <v>0</v>
      </c>
      <c r="F24">
        <v>0.57030000000000003</v>
      </c>
      <c r="G24">
        <v>1.0000000000000001E-5</v>
      </c>
      <c r="H24">
        <v>1.0000000000000001E-5</v>
      </c>
      <c r="I24">
        <v>4.3000000000000003E-6</v>
      </c>
      <c r="J24">
        <v>5.5000000000000003E-4</v>
      </c>
      <c r="K24">
        <v>9.9999999999999995E-7</v>
      </c>
    </row>
    <row r="25" spans="2:11" x14ac:dyDescent="0.45">
      <c r="B25" t="s">
        <v>756</v>
      </c>
      <c r="C25">
        <v>0</v>
      </c>
      <c r="D25">
        <v>0</v>
      </c>
      <c r="E25">
        <v>0</v>
      </c>
      <c r="F25">
        <v>0</v>
      </c>
      <c r="G25">
        <v>0</v>
      </c>
      <c r="H25">
        <v>0</v>
      </c>
      <c r="I25">
        <v>0</v>
      </c>
      <c r="J25">
        <v>0</v>
      </c>
      <c r="K25">
        <v>0</v>
      </c>
    </row>
    <row r="26" spans="2:11" x14ac:dyDescent="0.45">
      <c r="B26" t="s">
        <v>738</v>
      </c>
      <c r="C26">
        <v>33.347715776728052</v>
      </c>
      <c r="D26">
        <v>0</v>
      </c>
      <c r="E26">
        <v>1.1612276612276613E-3</v>
      </c>
      <c r="F26">
        <v>8.5930846930846946E-2</v>
      </c>
      <c r="G26">
        <v>6.0383838383838394E-6</v>
      </c>
      <c r="H26">
        <v>3.5998057498057501E-6</v>
      </c>
      <c r="I26">
        <v>5.8061383061383067E-7</v>
      </c>
      <c r="J26">
        <v>7.7581620046620063E-4</v>
      </c>
      <c r="K26">
        <v>1.4428153814051397E-5</v>
      </c>
    </row>
    <row r="27" spans="2:11" x14ac:dyDescent="0.45">
      <c r="B27" t="s">
        <v>757</v>
      </c>
      <c r="C27">
        <v>0</v>
      </c>
      <c r="D27">
        <v>0</v>
      </c>
      <c r="E27">
        <v>0</v>
      </c>
      <c r="F27">
        <v>5.7030000000000003</v>
      </c>
      <c r="G27">
        <v>1E-4</v>
      </c>
      <c r="H27">
        <v>1E-4</v>
      </c>
      <c r="I27">
        <v>4.3000000000000002E-5</v>
      </c>
      <c r="J27">
        <v>5.4999999999999997E-3</v>
      </c>
      <c r="K27">
        <v>1.0000000000000003E-5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031f9e84-bbb0-4d15-9dee-bace6ae3f7f6" xsi:nil="true"/>
    <lcf76f155ced4ddcb4097134ff3c332f xmlns="ef0e01b4-518e-45c7-a643-9d274d70197c">
      <Terms xmlns="http://schemas.microsoft.com/office/infopath/2007/PartnerControls"/>
    </lcf76f155ced4ddcb4097134ff3c332f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D01F8C9920E55141B996D67CDBD0CD60" ma:contentTypeVersion="16" ma:contentTypeDescription="Opret et nyt dokument." ma:contentTypeScope="" ma:versionID="ceb250dc8b43174a55df017e32ae1509">
  <xsd:schema xmlns:xsd="http://www.w3.org/2001/XMLSchema" xmlns:xs="http://www.w3.org/2001/XMLSchema" xmlns:p="http://schemas.microsoft.com/office/2006/metadata/properties" xmlns:ns2="ef0e01b4-518e-45c7-a643-9d274d70197c" xmlns:ns3="031f9e84-bbb0-4d15-9dee-bace6ae3f7f6" targetNamespace="http://schemas.microsoft.com/office/2006/metadata/properties" ma:root="true" ma:fieldsID="bda0a756f452ae2546ec5189f8df1ce2" ns2:_="" ns3:_="">
    <xsd:import namespace="ef0e01b4-518e-45c7-a643-9d274d70197c"/>
    <xsd:import namespace="031f9e84-bbb0-4d15-9dee-bace6ae3f7f6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DateTaken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f0e01b4-518e-45c7-a643-9d274d70197c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5" nillable="true" ma:displayName="Tags" ma:internalName="MediaServiceAutoTags" ma:readOnly="true">
      <xsd:simpleType>
        <xsd:restriction base="dms:Text"/>
      </xsd:simple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20" nillable="true" ma:taxonomy="true" ma:internalName="lcf76f155ced4ddcb4097134ff3c332f" ma:taxonomyFieldName="MediaServiceImageTags" ma:displayName="Billedmærker" ma:readOnly="false" ma:fieldId="{5cf76f15-5ced-4ddc-b409-7134ff3c332f}" ma:taxonomyMulti="true" ma:sspId="b2102423-6c9a-45d0-aa71-0069027da28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2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3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1f9e84-bbb0-4d15-9dee-bace6ae3f7f6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Delt med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Delt med detaljer" ma:internalName="SharedWithDetails" ma:readOnly="true">
      <xsd:simpleType>
        <xsd:restriction base="dms:Note">
          <xsd:maxLength value="255"/>
        </xsd:restriction>
      </xsd:simpleType>
    </xsd:element>
    <xsd:element name="TaxCatchAll" ma:index="21" nillable="true" ma:displayName="Taxonomy Catch All Column" ma:hidden="true" ma:list="{43369179-ee01-480d-bab1-3517544fa349}" ma:internalName="TaxCatchAll" ma:showField="CatchAllData" ma:web="031f9e84-bbb0-4d15-9dee-bace6ae3f7f6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Indholdstype"/>
        <xsd:element ref="dc:title" minOccurs="0" maxOccurs="1" ma:index="4" ma:displayName="Titel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10DC35E-480D-4CD9-9AAB-13757FB4C5B5}">
  <ds:schemaRefs>
    <ds:schemaRef ds:uri="031f9e84-bbb0-4d15-9dee-bace6ae3f7f6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http://purl.org/dc/elements/1.1/"/>
    <ds:schemaRef ds:uri="http://schemas.microsoft.com/office/2006/metadata/properties"/>
    <ds:schemaRef ds:uri="ef0e01b4-518e-45c7-a643-9d274d70197c"/>
    <ds:schemaRef ds:uri="http://www.w3.org/XML/1998/namespace"/>
  </ds:schemaRefs>
</ds:datastoreItem>
</file>

<file path=customXml/itemProps2.xml><?xml version="1.0" encoding="utf-8"?>
<ds:datastoreItem xmlns:ds="http://schemas.openxmlformats.org/officeDocument/2006/customXml" ds:itemID="{A377C928-6D81-40F9-AB74-ECC276764452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E073E35E-3B2D-465C-B65D-4373FDBEE331}"/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Economic</vt:lpstr>
      <vt:lpstr>Technology Data</vt:lpstr>
      <vt:lpstr>H2 Grid Data</vt:lpstr>
      <vt:lpstr>Annualised Costs</vt:lpstr>
      <vt:lpstr>Demands</vt:lpstr>
      <vt:lpstr>Biomass Costs</vt:lpstr>
      <vt:lpstr>Biomass Potentials</vt:lpstr>
      <vt:lpstr>Transport</vt:lpstr>
      <vt:lpstr>Distribution of Fuels</vt:lpstr>
      <vt:lpstr>Regulation Ability</vt:lpstr>
      <vt:lpstr>LCA</vt:lpstr>
      <vt:lpstr>Fossil Fuels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Mathias Rosendal</dc:creator>
  <cp:lastModifiedBy>Mathias Berg Rosendal</cp:lastModifiedBy>
  <dcterms:created xsi:type="dcterms:W3CDTF">2022-01-20T09:35:51Z</dcterms:created>
  <dcterms:modified xsi:type="dcterms:W3CDTF">2022-06-14T16:46:26Z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0x010100D01F8C9920E55141B996D67CDBD0CD60</vt:lpwstr>
  </property>
  <property fmtid="{D5CDD505-2E9C-101B-9397-08002B2CF9AE}" pid="3" name="MediaServiceImageTags">
    <vt:lpwstr/>
  </property>
</Properties>
</file>